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cecmo\OneDrive\ICAT -NB+CM\Deliverable Nro22\"/>
    </mc:Choice>
  </mc:AlternateContent>
  <xr:revisionPtr revIDLastSave="0" documentId="13_ncr:1_{F47EF6C8-E8A0-4218-8239-A469FD186AF0}" xr6:coauthVersionLast="47" xr6:coauthVersionMax="47" xr10:uidLastSave="{00000000-0000-0000-0000-000000000000}"/>
  <bookViews>
    <workbookView xWindow="-120" yWindow="-120" windowWidth="20730" windowHeight="11040" firstSheet="2" activeTab="5" xr2:uid="{00000000-000D-0000-FFFF-FFFF00000000}"/>
  </bookViews>
  <sheets>
    <sheet name="Emisiones enfoque 1" sheetId="10" r:id="rId1"/>
    <sheet name="Emisiones enfoque 2" sheetId="13" r:id="rId2"/>
    <sheet name="Emisiones enfoque 3" sheetId="7" r:id="rId3"/>
    <sheet name="Fuentes y Factores (enfoque 3)" sheetId="8" r:id="rId4"/>
    <sheet name="Análisis" sheetId="9" r:id="rId5"/>
    <sheet name="Análisis II" sheetId="14" r:id="rId6"/>
    <sheet name="4 a) Simple OM 2007-2019" sheetId="5" r:id="rId7"/>
    <sheet name="Datos factores de emisión" sheetId="2" state="hidden" r:id="rId8"/>
  </sheets>
  <externalReferences>
    <externalReference r:id="rId9"/>
  </externalReferences>
  <definedNames>
    <definedName name="_ftn1" localSheetId="0">'Emisiones enfoque 1'!#REF!</definedName>
    <definedName name="_ftnref1" localSheetId="0">'Emisiones enfoque 1'!#REF!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4" l="1"/>
  <c r="B11" i="14"/>
  <c r="F7" i="14"/>
  <c r="C32" i="14"/>
  <c r="B32" i="14"/>
  <c r="D35" i="14" s="1"/>
  <c r="A30" i="14"/>
  <c r="I7" i="14" s="1"/>
  <c r="A25" i="14"/>
  <c r="A26" i="14" s="1"/>
  <c r="H8" i="14" s="1"/>
  <c r="A21" i="14"/>
  <c r="B8" i="14" s="1"/>
  <c r="A20" i="14"/>
  <c r="B7" i="14" s="1"/>
  <c r="E19" i="14"/>
  <c r="I8" i="14"/>
  <c r="G8" i="14"/>
  <c r="G7" i="14" l="1"/>
  <c r="G14" i="14" s="1"/>
  <c r="D33" i="14"/>
  <c r="B9" i="14"/>
  <c r="B10" i="14"/>
  <c r="H7" i="14"/>
  <c r="I13" i="14"/>
  <c r="I15" i="14"/>
  <c r="G13" i="14"/>
  <c r="G15" i="14"/>
  <c r="I14" i="14"/>
  <c r="B19" i="9"/>
  <c r="D19" i="9" s="1"/>
  <c r="B18" i="9"/>
  <c r="D18" i="9" s="1"/>
  <c r="B53" i="13"/>
  <c r="AG51" i="13"/>
  <c r="AL13" i="13"/>
  <c r="AL14" i="13"/>
  <c r="AL15" i="13"/>
  <c r="AL16" i="13"/>
  <c r="AL21" i="13"/>
  <c r="AL22" i="13"/>
  <c r="AL23" i="13"/>
  <c r="AL24" i="13"/>
  <c r="AL29" i="13"/>
  <c r="AL30" i="13"/>
  <c r="AL31" i="13"/>
  <c r="AL32" i="13"/>
  <c r="AL37" i="13"/>
  <c r="AL38" i="13"/>
  <c r="AL39" i="13"/>
  <c r="AL40" i="13"/>
  <c r="AL45" i="13"/>
  <c r="AL46" i="13"/>
  <c r="AL47" i="13"/>
  <c r="AL48" i="13"/>
  <c r="AK10" i="13"/>
  <c r="AK11" i="13"/>
  <c r="AK12" i="13"/>
  <c r="AK13" i="13"/>
  <c r="AK18" i="13"/>
  <c r="AK19" i="13"/>
  <c r="AK20" i="13"/>
  <c r="AK21" i="13"/>
  <c r="AK26" i="13"/>
  <c r="AK27" i="13"/>
  <c r="AK28" i="13"/>
  <c r="AK29" i="13"/>
  <c r="AK34" i="13"/>
  <c r="AK35" i="13"/>
  <c r="AK36" i="13"/>
  <c r="AK37" i="13"/>
  <c r="AK42" i="13"/>
  <c r="AK43" i="13"/>
  <c r="AK44" i="13"/>
  <c r="AK45" i="13"/>
  <c r="AK50" i="13"/>
  <c r="AK8" i="13"/>
  <c r="AJ9" i="13"/>
  <c r="AJ10" i="13"/>
  <c r="AJ11" i="13"/>
  <c r="AJ12" i="13"/>
  <c r="AJ13" i="13"/>
  <c r="AJ14" i="13"/>
  <c r="AJ15" i="13"/>
  <c r="AJ16" i="13"/>
  <c r="AJ17" i="13"/>
  <c r="AJ18" i="13"/>
  <c r="AJ19" i="13"/>
  <c r="AJ20" i="13"/>
  <c r="AJ21" i="13"/>
  <c r="AJ22" i="13"/>
  <c r="AJ23" i="13"/>
  <c r="AJ24" i="13"/>
  <c r="AJ25" i="13"/>
  <c r="AJ26" i="13"/>
  <c r="AJ27" i="13"/>
  <c r="AJ28" i="13"/>
  <c r="AJ29" i="13"/>
  <c r="AJ30" i="13"/>
  <c r="AJ31" i="13"/>
  <c r="AJ32" i="13"/>
  <c r="AJ33" i="13"/>
  <c r="AJ34" i="13"/>
  <c r="AJ35" i="13"/>
  <c r="AJ36" i="13"/>
  <c r="AJ37" i="13"/>
  <c r="AJ38" i="13"/>
  <c r="AJ39" i="13"/>
  <c r="AJ40" i="13"/>
  <c r="AJ41" i="13"/>
  <c r="AJ42" i="13"/>
  <c r="AJ43" i="13"/>
  <c r="AJ44" i="13"/>
  <c r="AJ45" i="13"/>
  <c r="AJ46" i="13"/>
  <c r="AJ47" i="13"/>
  <c r="AJ48" i="13"/>
  <c r="AJ49" i="13"/>
  <c r="AJ50" i="13"/>
  <c r="AJ8" i="13"/>
  <c r="E4" i="13"/>
  <c r="AL9" i="13" s="1"/>
  <c r="H15" i="14" l="1"/>
  <c r="H14" i="14"/>
  <c r="H13" i="14"/>
  <c r="AK49" i="13"/>
  <c r="AK33" i="13"/>
  <c r="AK17" i="13"/>
  <c r="AK9" i="13"/>
  <c r="AL44" i="13"/>
  <c r="AL36" i="13"/>
  <c r="AL28" i="13"/>
  <c r="AL20" i="13"/>
  <c r="AL12" i="13"/>
  <c r="AK25" i="13"/>
  <c r="AK48" i="13"/>
  <c r="AK40" i="13"/>
  <c r="AK32" i="13"/>
  <c r="AK24" i="13"/>
  <c r="AK16" i="13"/>
  <c r="AL8" i="13"/>
  <c r="AL43" i="13"/>
  <c r="AL35" i="13"/>
  <c r="AL27" i="13"/>
  <c r="AL19" i="13"/>
  <c r="AL11" i="13"/>
  <c r="AK47" i="13"/>
  <c r="AK39" i="13"/>
  <c r="AK31" i="13"/>
  <c r="AK23" i="13"/>
  <c r="AK15" i="13"/>
  <c r="AL50" i="13"/>
  <c r="AL42" i="13"/>
  <c r="AL34" i="13"/>
  <c r="AL26" i="13"/>
  <c r="AL18" i="13"/>
  <c r="AL10" i="13"/>
  <c r="AK41" i="13"/>
  <c r="AK46" i="13"/>
  <c r="AK38" i="13"/>
  <c r="AK30" i="13"/>
  <c r="AK22" i="13"/>
  <c r="AK14" i="13"/>
  <c r="AL49" i="13"/>
  <c r="AL41" i="13"/>
  <c r="AL33" i="13"/>
  <c r="AL25" i="13"/>
  <c r="AL17" i="13"/>
  <c r="E4" i="10" l="1"/>
  <c r="E60" i="10"/>
  <c r="B62" i="10" s="1"/>
  <c r="E11" i="9"/>
  <c r="D11" i="9"/>
  <c r="C11" i="9"/>
  <c r="B26" i="7"/>
  <c r="E9" i="7" s="1"/>
  <c r="B23" i="7"/>
  <c r="C10" i="7" s="1"/>
  <c r="F4" i="7"/>
  <c r="E14" i="7" l="1"/>
  <c r="C11" i="7"/>
  <c r="C9" i="7"/>
  <c r="C12" i="7"/>
  <c r="B15" i="8" l="1"/>
  <c r="E4" i="7" s="1"/>
  <c r="D9" i="7" s="1"/>
  <c r="C4" i="2" l="1"/>
  <c r="O15" i="5" l="1"/>
  <c r="D15" i="5" l="1"/>
  <c r="E15" i="5"/>
  <c r="F15" i="5"/>
  <c r="G15" i="5"/>
  <c r="H15" i="5"/>
  <c r="I15" i="5"/>
  <c r="J15" i="5"/>
  <c r="K15" i="5"/>
  <c r="L15" i="5"/>
  <c r="M15" i="5"/>
  <c r="N15" i="5"/>
  <c r="C15" i="5"/>
  <c r="N8" i="2" l="1"/>
  <c r="I8" i="2"/>
  <c r="J8" i="2" s="1"/>
  <c r="C8" i="2"/>
  <c r="N7" i="2"/>
  <c r="I7" i="2"/>
  <c r="J7" i="2" s="1"/>
  <c r="C7" i="2"/>
  <c r="M6" i="2"/>
  <c r="C6" i="2" s="1"/>
  <c r="I6" i="2"/>
  <c r="J6" i="2" s="1"/>
  <c r="M5" i="2"/>
  <c r="C5" i="2" s="1"/>
  <c r="I5" i="2"/>
  <c r="J5" i="2" s="1"/>
  <c r="O4" i="2"/>
  <c r="M4" i="2"/>
  <c r="I4" i="2"/>
  <c r="J4" i="2" s="1"/>
  <c r="H5" i="5" l="1"/>
  <c r="N4" i="2"/>
  <c r="N6" i="2"/>
  <c r="J5" i="5"/>
  <c r="G5" i="5"/>
  <c r="F25" i="5" s="1"/>
  <c r="E6" i="2"/>
  <c r="C26" i="5"/>
  <c r="J26" i="5"/>
  <c r="I26" i="5"/>
  <c r="H26" i="5"/>
  <c r="G26" i="5"/>
  <c r="N26" i="5"/>
  <c r="F26" i="5"/>
  <c r="M26" i="5"/>
  <c r="L26" i="5"/>
  <c r="D26" i="5"/>
  <c r="E26" i="5"/>
  <c r="N5" i="2"/>
  <c r="E16" i="7" l="1"/>
  <c r="F16" i="7" s="1"/>
  <c r="E13" i="7"/>
  <c r="F13" i="7" s="1"/>
  <c r="E17" i="7"/>
  <c r="F17" i="7" s="1"/>
  <c r="E10" i="7"/>
  <c r="F10" i="7" s="1"/>
  <c r="E15" i="7"/>
  <c r="F15" i="7" s="1"/>
  <c r="E11" i="7"/>
  <c r="F11" i="7" s="1"/>
  <c r="E12" i="7"/>
  <c r="F12" i="7" s="1"/>
  <c r="F9" i="7"/>
  <c r="F14" i="7"/>
  <c r="H28" i="5"/>
  <c r="O28" i="5"/>
  <c r="H25" i="5"/>
  <c r="O25" i="5"/>
  <c r="K26" i="5"/>
  <c r="O26" i="5"/>
  <c r="K28" i="5"/>
  <c r="L25" i="5"/>
  <c r="C25" i="5"/>
  <c r="G25" i="5"/>
  <c r="E28" i="5"/>
  <c r="I5" i="5"/>
  <c r="C27" i="5" s="1"/>
  <c r="D28" i="5"/>
  <c r="J28" i="5"/>
  <c r="N28" i="5"/>
  <c r="F28" i="5"/>
  <c r="C28" i="5"/>
  <c r="L28" i="5"/>
  <c r="G28" i="5"/>
  <c r="M28" i="5"/>
  <c r="I28" i="5"/>
  <c r="I25" i="5"/>
  <c r="E25" i="5"/>
  <c r="K25" i="5"/>
  <c r="N25" i="5"/>
  <c r="J25" i="5"/>
  <c r="M25" i="5"/>
  <c r="D25" i="5"/>
  <c r="F18" i="7" l="1"/>
  <c r="E18" i="7"/>
  <c r="C30" i="5"/>
  <c r="C32" i="5" s="1"/>
  <c r="C33" i="5"/>
  <c r="I27" i="5"/>
  <c r="G27" i="5"/>
  <c r="G30" i="5" s="1"/>
  <c r="F27" i="5"/>
  <c r="F30" i="5" s="1"/>
  <c r="H27" i="5"/>
  <c r="H30" i="5" s="1"/>
  <c r="O27" i="5"/>
  <c r="O30" i="5" s="1"/>
  <c r="E27" i="5"/>
  <c r="J27" i="5"/>
  <c r="N27" i="5"/>
  <c r="N30" i="5" s="1"/>
  <c r="M27" i="5"/>
  <c r="M30" i="5" s="1"/>
  <c r="M33" i="5" s="1"/>
  <c r="D27" i="5"/>
  <c r="D30" i="5" s="1"/>
  <c r="K27" i="5"/>
  <c r="K30" i="5" s="1"/>
  <c r="L27" i="5"/>
  <c r="L30" i="5" s="1"/>
  <c r="J30" i="5"/>
  <c r="J33" i="5" s="1"/>
  <c r="I30" i="5"/>
  <c r="I33" i="5" s="1"/>
  <c r="E30" i="5"/>
  <c r="J32" i="5" l="1"/>
  <c r="K33" i="5"/>
  <c r="K32" i="5"/>
  <c r="O32" i="5"/>
  <c r="O33" i="5"/>
  <c r="L33" i="5"/>
  <c r="L32" i="5"/>
  <c r="F32" i="5"/>
  <c r="F33" i="5"/>
  <c r="D32" i="5"/>
  <c r="D33" i="5"/>
  <c r="N33" i="5"/>
  <c r="N32" i="5"/>
  <c r="H32" i="5"/>
  <c r="H33" i="5"/>
  <c r="E32" i="5"/>
  <c r="E33" i="5"/>
  <c r="G32" i="5"/>
  <c r="G33" i="5"/>
  <c r="M32" i="5"/>
  <c r="I32" i="5"/>
  <c r="C13" i="7" l="1"/>
  <c r="D13" i="7" s="1"/>
  <c r="D11" i="7"/>
  <c r="D10" i="7"/>
  <c r="C16" i="7"/>
  <c r="D16" i="7" s="1"/>
  <c r="D12" i="7"/>
  <c r="C14" i="7"/>
  <c r="D14" i="7" s="1"/>
  <c r="C17" i="7"/>
  <c r="D17" i="7" s="1"/>
  <c r="D18" i="7" s="1"/>
  <c r="B20" i="7" s="1"/>
  <c r="B13" i="9" s="1"/>
  <c r="C15" i="7"/>
  <c r="D15" i="7" s="1"/>
  <c r="C1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Daniela Morando</author>
  </authors>
  <commentList>
    <comment ref="A3" authorId="0" shapeId="0" xr:uid="{F7E4D303-1359-4D87-9708-A7ADD925AE71}">
      <text>
        <r>
          <rPr>
            <b/>
            <sz val="9"/>
            <color indexed="81"/>
            <rFont val="Tahoma"/>
            <family val="2"/>
          </rPr>
          <t>Muestra de EAS grandes usuarios de energía eléctrica</t>
        </r>
      </text>
    </comment>
    <comment ref="F4" authorId="0" shapeId="0" xr:uid="{34791C85-4E61-4E28-AA2C-F266EFA64BB3}">
      <text>
        <r>
          <rPr>
            <b/>
            <sz val="9"/>
            <color indexed="81"/>
            <rFont val="Tahoma"/>
            <family val="2"/>
          </rPr>
          <t>Se utiliza el FE del año 2016, ya que la muestra obtenida corresponde a consumos de 2016.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Daniela Morando</author>
  </authors>
  <commentList>
    <comment ref="A3" authorId="0" shapeId="0" xr:uid="{65DFE99C-6B5A-45C8-BC78-78136AD3D0D1}">
      <text>
        <r>
          <rPr>
            <b/>
            <sz val="9"/>
            <color indexed="81"/>
            <rFont val="Tahoma"/>
            <family val="2"/>
          </rPr>
          <t>Muestra de EAS con internación, grandes usuarios de energía eléctrica</t>
        </r>
      </text>
    </comment>
    <comment ref="F4" authorId="0" shapeId="0" xr:uid="{AE60D5B3-D2D3-412D-8929-6EB23CF80E3D}">
      <text>
        <r>
          <rPr>
            <b/>
            <sz val="9"/>
            <color indexed="81"/>
            <rFont val="Tahoma"/>
            <family val="2"/>
          </rPr>
          <t>Se utiliza el FE del año 2016, ya que la muestra obtenida corresponde a consumos de 2016.</t>
        </r>
      </text>
    </comment>
    <comment ref="AH19" authorId="0" shapeId="0" xr:uid="{D1612C61-EE16-4F2A-BC23-624600280127}">
      <text>
        <r>
          <rPr>
            <b/>
            <sz val="9"/>
            <color indexed="81"/>
            <rFont val="Tahoma"/>
            <family val="2"/>
          </rPr>
          <t xml:space="preserve">Consumo de energía eléctrica anual
(2016-2017) - Para Sede Central 
Reporte de Sustentabilidad Hospital Italiano.
Disponible en https://www.iarse.org/uploads/Reporte%20Hospital%20Italiano%20BS%20As.pdf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03D3A795-274B-4E04-A289-D18D3DC9C91D}">
      <text>
        <r>
          <rPr>
            <b/>
            <sz val="9"/>
            <color indexed="81"/>
            <rFont val="Tahoma"/>
            <family val="2"/>
          </rPr>
          <t xml:space="preserve">Consumo de enegía eléctrica anual en kwh (4.085.134). Sede San Justo.
(2016-2017)
Reporte de Sustentabilidad Hospital Italiano.
Disponible en https://www.iarse.org/uploads/Reporte%20Hospital%20Italiano%20BS%20As.pdf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43" authorId="0" shapeId="0" xr:uid="{76012D3A-E478-4281-AA37-8D31FC7A6231}">
      <text>
        <r>
          <rPr>
            <b/>
            <sz val="9"/>
            <color indexed="81"/>
            <rFont val="Tahoma"/>
            <family val="2"/>
          </rPr>
          <t>Los datos de consumo eléctrico usados corresponden a 2017. Consumo anual kwh 401.463 
https://www.cruzceleste.com/</t>
        </r>
      </text>
    </comment>
    <comment ref="AB44" authorId="0" shapeId="0" xr:uid="{ABFFEC8B-A973-4979-91EE-39C146C6A02D}">
      <text>
        <r>
          <rPr>
            <b/>
            <sz val="9"/>
            <color indexed="81"/>
            <rFont val="Tahoma"/>
            <family val="2"/>
          </rPr>
          <t>Fuente: https://www.hpc.org.ar/hpc-en-numeros/</t>
        </r>
      </text>
    </comment>
    <comment ref="AH46" authorId="0" shapeId="0" xr:uid="{05A3F473-621E-4D30-A805-D489CAFF0085}">
      <text>
        <r>
          <rPr>
            <b/>
            <sz val="9"/>
            <color indexed="81"/>
            <rFont val="Tahoma"/>
            <family val="2"/>
          </rPr>
          <t>Consumo extraído de https://rasp.msal.gov.ar/index.php/rasp/article/view/541/452
Consumo anual de energía eléctrica (2015) 1.098.726 kWh</t>
        </r>
      </text>
    </comment>
    <comment ref="AH50" authorId="0" shapeId="0" xr:uid="{D067E6EB-E075-4064-8D5C-19FAE9B52490}">
      <text>
        <r>
          <rPr>
            <b/>
            <sz val="9"/>
            <color indexed="81"/>
            <rFont val="Tahoma"/>
            <family val="2"/>
          </rPr>
          <t>Fuente: Energy efficiency
and cooling
audits in health
care facilities in
Argentina, China,
and the Philippines. Consumo anual de energía en kwh 495.643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Daniela Morando</author>
  </authors>
  <commentList>
    <comment ref="A25" authorId="0" shapeId="0" xr:uid="{A70BC134-DD8E-4E83-928F-7B008DED425B}">
      <text>
        <r>
          <rPr>
            <sz val="9"/>
            <color indexed="81"/>
            <rFont val="Tahoma"/>
            <family val="2"/>
          </rPr>
          <t xml:space="preserve">Se refiere a los sectores incluidos en el BEN como CONSUMO FINAL de sectores no energéticos: residencial, comercial y público, transporte, agropecuario e industria.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Daniela Morando</author>
  </authors>
  <commentList>
    <comment ref="A15" authorId="0" shapeId="0" xr:uid="{7DF45D0C-96A3-48C3-9BD2-28D3CA4B1242}">
      <text>
        <r>
          <rPr>
            <b/>
            <sz val="9"/>
            <color indexed="81"/>
            <rFont val="Tahoma"/>
            <family val="2"/>
          </rPr>
          <t>Se utiliza el BUR3 porque son emisiones del 2016 al igual que los cálculos realizados sobre la muestra de 2016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Daniela Morando</author>
  </authors>
  <commentList>
    <comment ref="F6" authorId="0" shapeId="0" xr:uid="{C251AE96-1DC6-42E1-9096-3F1B4F9B77DF}">
      <text>
        <r>
          <rPr>
            <b/>
            <sz val="9"/>
            <color indexed="81"/>
            <rFont val="Tahoma"/>
            <family val="2"/>
          </rPr>
          <t>Cecilia Daniela Morando:</t>
        </r>
        <r>
          <rPr>
            <sz val="9"/>
            <color indexed="81"/>
            <rFont val="Tahoma"/>
            <family val="2"/>
          </rPr>
          <t xml:space="preserve">
Las emisiones netas totales del año 2018 se estimaron en 365.889,79 GgCO2e. (Fuente: BUR4 página 21)</t>
        </r>
      </text>
    </comment>
    <comment ref="B14" authorId="0" shapeId="0" xr:uid="{6386C865-70FC-47FC-8CD1-1D62B40FF90D}">
      <text>
        <r>
          <rPr>
            <sz val="9"/>
            <color indexed="81"/>
            <rFont val="Tahoma"/>
            <family val="2"/>
          </rPr>
          <t>Las emisiones netas totales del año 2017 se estimaron en 370.159,72 GgCO2e. (Fuente: BUR4 - Tabla 70 - Serie Temporal de Emisiones - Año 2017. página 234)</t>
        </r>
      </text>
    </comment>
    <comment ref="B15" authorId="0" shapeId="0" xr:uid="{662ADE48-06B8-4A8C-9789-2BB9E74736AC}">
      <text>
        <r>
          <rPr>
            <sz val="9"/>
            <color indexed="81"/>
            <rFont val="Tahoma"/>
            <family val="2"/>
          </rPr>
          <t>Población argentina estimada para el año 2017. (Fuente: INDEC)</t>
        </r>
      </text>
    </comment>
    <comment ref="B24" authorId="0" shapeId="0" xr:uid="{95466C57-3D62-47E0-8586-4833BE76D256}">
      <text>
        <r>
          <rPr>
            <b/>
            <sz val="9"/>
            <color indexed="81"/>
            <rFont val="Tahoma"/>
            <family val="2"/>
          </rPr>
          <t>Cecilia Daniela Morando:</t>
        </r>
        <r>
          <rPr>
            <sz val="9"/>
            <color indexed="81"/>
            <rFont val="Tahoma"/>
            <family val="2"/>
          </rPr>
          <t xml:space="preserve">
Huella del sector salud para América Latina: 0,20 tCO2e/cápita. (Fuente: Salud sin Daño (2019). Huella Climática del Sector de la Salud)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</author>
  </authors>
  <commentList>
    <comment ref="O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D:</t>
        </r>
        <r>
          <rPr>
            <sz val="9"/>
            <color indexed="81"/>
            <rFont val="Tahoma"/>
            <family val="2"/>
          </rPr>
          <t xml:space="preserve">
24,70 ipcc1996 ARG p1.16</t>
        </r>
      </text>
    </comment>
    <comment ref="O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D:</t>
        </r>
        <r>
          <rPr>
            <sz val="9"/>
            <color indexed="81"/>
            <rFont val="Tahoma"/>
            <family val="2"/>
          </rPr>
          <t xml:space="preserve">
30,14 ipcc1996 ARG p1.16</t>
        </r>
      </text>
    </comment>
  </commentList>
</comments>
</file>

<file path=xl/sharedStrings.xml><?xml version="1.0" encoding="utf-8"?>
<sst xmlns="http://schemas.openxmlformats.org/spreadsheetml/2006/main" count="1518" uniqueCount="631">
  <si>
    <t>DATOS</t>
  </si>
  <si>
    <t>BEN</t>
  </si>
  <si>
    <t>IPCC/3BUR</t>
  </si>
  <si>
    <t>TCN</t>
  </si>
  <si>
    <t>Versiones anteriores EF</t>
  </si>
  <si>
    <t>Factor de emisión por combustible</t>
  </si>
  <si>
    <t>Densidad</t>
  </si>
  <si>
    <t>PCI</t>
  </si>
  <si>
    <r>
      <t>FE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</si>
  <si>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Combustible</t>
  </si>
  <si>
    <t>Factores de Emisión</t>
  </si>
  <si>
    <r>
      <t xml:space="preserve"> kg/l (m3) </t>
    </r>
    <r>
      <rPr>
        <b/>
        <vertAlign val="superscript"/>
        <sz val="9"/>
        <color theme="1"/>
        <rFont val="Calibri"/>
        <family val="2"/>
        <scheme val="minor"/>
      </rPr>
      <t>1</t>
    </r>
  </si>
  <si>
    <t>kcal/kg (m3)</t>
  </si>
  <si>
    <t>GJ/t(1000m3)</t>
  </si>
  <si>
    <t>TEP/t(1000 m3)</t>
  </si>
  <si>
    <r>
      <t>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/TJ</t>
    </r>
  </si>
  <si>
    <r>
      <t>tCO2</t>
    </r>
    <r>
      <rPr>
        <b/>
        <sz val="11"/>
        <color theme="1"/>
        <rFont val="Calibri"/>
        <family val="2"/>
        <scheme val="minor"/>
      </rPr>
      <t>/t (1000m3)</t>
    </r>
  </si>
  <si>
    <r>
      <t>GJ/t (1000m3)</t>
    </r>
    <r>
      <rPr>
        <b/>
        <vertAlign val="superscript"/>
        <sz val="9"/>
        <color theme="1"/>
        <rFont val="Calibri"/>
        <family val="2"/>
        <scheme val="minor"/>
      </rPr>
      <t>3</t>
    </r>
  </si>
  <si>
    <t>Gas Natural (NG)</t>
  </si>
  <si>
    <r>
      <t xml:space="preserve"> 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/dam</t>
    </r>
    <r>
      <rPr>
        <vertAlign val="superscript"/>
        <sz val="10"/>
        <rFont val="Arial"/>
        <family val="2"/>
      </rPr>
      <t>3</t>
    </r>
  </si>
  <si>
    <t>Fuel Oil (FO)</t>
  </si>
  <si>
    <r>
      <t xml:space="preserve"> 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/t</t>
    </r>
  </si>
  <si>
    <t>Gas oil (GO)</t>
  </si>
  <si>
    <t>tCO2/m3</t>
  </si>
  <si>
    <t xml:space="preserve">CMi (Carbón Mineral) Nacional </t>
  </si>
  <si>
    <t xml:space="preserve">CMi (Carbón Mineral) Importado </t>
  </si>
  <si>
    <t>(Fuente : Tercer BUR (Factores IPCC utilizando PCI del BEN)</t>
  </si>
  <si>
    <t>Equivalencias</t>
  </si>
  <si>
    <t>TJ/kTEP</t>
  </si>
  <si>
    <t>kJ/kcal</t>
  </si>
  <si>
    <t>Total</t>
  </si>
  <si>
    <t>GENERACIÓN</t>
  </si>
  <si>
    <t>(GWh)</t>
  </si>
  <si>
    <t>Térmica</t>
  </si>
  <si>
    <t>Hidráulica (*)</t>
  </si>
  <si>
    <t>Nuclear</t>
  </si>
  <si>
    <t>Renovable</t>
  </si>
  <si>
    <t>Importación</t>
  </si>
  <si>
    <t>TOTAL OFERTA</t>
  </si>
  <si>
    <t>Gas Natural</t>
  </si>
  <si>
    <t>Fuel Oil</t>
  </si>
  <si>
    <t>Gasoil</t>
  </si>
  <si>
    <t>Carbón</t>
  </si>
  <si>
    <t xml:space="preserve"> tCO2/dam3</t>
  </si>
  <si>
    <t xml:space="preserve"> tCO2/t</t>
  </si>
  <si>
    <t>Consumo de Combustible</t>
  </si>
  <si>
    <t>Gas Natural [mdam3]</t>
  </si>
  <si>
    <t>Fuel Oil [kTon]</t>
  </si>
  <si>
    <t>Gas Oil [mm3]</t>
  </si>
  <si>
    <t>Carbón [kTon]</t>
  </si>
  <si>
    <t>Biodiesel [kTon]</t>
  </si>
  <si>
    <t xml:space="preserve">Gas Natural </t>
  </si>
  <si>
    <t xml:space="preserve">Fuel Oil </t>
  </si>
  <si>
    <t>Gas Oil</t>
  </si>
  <si>
    <t xml:space="preserve">Carbón </t>
  </si>
  <si>
    <t>Biodiesel</t>
  </si>
  <si>
    <t xml:space="preserve"> tCO2/m3</t>
  </si>
  <si>
    <r>
      <t>Factor emisión tCO</t>
    </r>
    <r>
      <rPr>
        <vertAlign val="subscript"/>
        <sz val="11"/>
        <color theme="1"/>
        <rFont val="Calibri Light"/>
        <family val="2"/>
        <scheme val="major"/>
      </rPr>
      <t>2</t>
    </r>
    <r>
      <rPr>
        <sz val="11"/>
        <color theme="1"/>
        <rFont val="Calibri Light"/>
        <family val="2"/>
        <scheme val="major"/>
      </rPr>
      <t>/MWh</t>
    </r>
  </si>
  <si>
    <r>
      <t>Emsiones tCO</t>
    </r>
    <r>
      <rPr>
        <sz val="8"/>
        <color theme="3"/>
        <rFont val="Calibri Light"/>
        <family val="2"/>
        <scheme val="major"/>
      </rPr>
      <t>2</t>
    </r>
  </si>
  <si>
    <t xml:space="preserve">Step 3. </t>
  </si>
  <si>
    <t>(a) Simple OM</t>
  </si>
  <si>
    <t>Total Sin LCMR</t>
  </si>
  <si>
    <t>Fuente datos de generación y consumo: Informe anual de CAMMESA</t>
  </si>
  <si>
    <t>Donde:</t>
  </si>
  <si>
    <t>y</t>
  </si>
  <si>
    <t xml:space="preserve">Año correspondiente al período de análisis. </t>
  </si>
  <si>
    <r>
      <t xml:space="preserve">Poder calorífico inferior del combustible fósil tipo </t>
    </r>
    <r>
      <rPr>
        <i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en el año </t>
    </r>
    <r>
      <rPr>
        <i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(GJ/unidad de masa o volumen). </t>
    </r>
  </si>
  <si>
    <r>
      <t>Factor de Emisión del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del margen de operación simple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en el  año </t>
    </r>
    <r>
      <rPr>
        <i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>(tCO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/MWh) </t>
    </r>
  </si>
  <si>
    <r>
      <t>EF</t>
    </r>
    <r>
      <rPr>
        <b/>
        <i/>
        <vertAlign val="subscript"/>
        <sz val="11"/>
        <color theme="1"/>
        <rFont val="Calibri"/>
        <family val="2"/>
        <scheme val="minor"/>
      </rPr>
      <t>grid OM Simple,y</t>
    </r>
    <r>
      <rPr>
        <i/>
        <vertAlign val="subscript"/>
        <sz val="11"/>
        <color theme="1"/>
        <rFont val="Calibri"/>
        <family val="2"/>
        <scheme val="minor"/>
      </rPr>
      <t xml:space="preserve">     </t>
    </r>
    <r>
      <rPr>
        <i/>
        <sz val="11"/>
        <color theme="1"/>
        <rFont val="Calibri"/>
        <family val="2"/>
        <scheme val="minor"/>
      </rPr>
      <t xml:space="preserve">      </t>
    </r>
  </si>
  <si>
    <r>
      <t>FC</t>
    </r>
    <r>
      <rPr>
        <b/>
        <i/>
        <vertAlign val="subscript"/>
        <sz val="11"/>
        <color theme="1"/>
        <rFont val="Calibri"/>
        <family val="2"/>
        <scheme val="minor"/>
      </rPr>
      <t xml:space="preserve">i,y </t>
    </r>
    <r>
      <rPr>
        <i/>
        <sz val="11"/>
        <color theme="1"/>
        <rFont val="Calibri"/>
        <family val="2"/>
        <scheme val="minor"/>
      </rPr>
      <t xml:space="preserve">              </t>
    </r>
  </si>
  <si>
    <r>
      <t>NCVi,y</t>
    </r>
    <r>
      <rPr>
        <i/>
        <sz val="11"/>
        <color theme="1"/>
        <rFont val="Calibri"/>
        <family val="2"/>
        <scheme val="minor"/>
      </rPr>
      <t xml:space="preserve">             </t>
    </r>
  </si>
  <si>
    <r>
      <t>EF</t>
    </r>
    <r>
      <rPr>
        <b/>
        <i/>
        <vertAlign val="subscript"/>
        <sz val="11"/>
        <color theme="1"/>
        <rFont val="Calibri"/>
        <family val="2"/>
        <scheme val="minor"/>
      </rPr>
      <t>CO2,i,y</t>
    </r>
    <r>
      <rPr>
        <i/>
        <sz val="11"/>
        <color theme="1"/>
        <rFont val="Calibri"/>
        <family val="2"/>
        <scheme val="minor"/>
      </rPr>
      <t xml:space="preserve">       </t>
    </r>
  </si>
  <si>
    <r>
      <t xml:space="preserve">i </t>
    </r>
    <r>
      <rPr>
        <i/>
        <sz val="11"/>
        <color theme="1"/>
        <rFont val="Calibri"/>
        <family val="2"/>
        <scheme val="minor"/>
      </rPr>
      <t xml:space="preserve"> </t>
    </r>
  </si>
  <si>
    <r>
      <t xml:space="preserve">Cantidad de combustible fósil tipo </t>
    </r>
    <r>
      <rPr>
        <i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consumido por el sistema </t>
    </r>
    <r>
      <rPr>
        <sz val="11"/>
        <color theme="1"/>
        <rFont val="Calibri"/>
        <family val="2"/>
        <scheme val="minor"/>
      </rPr>
      <t xml:space="preserve">en el año </t>
    </r>
    <r>
      <rPr>
        <i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(Unidad de Masa o volumen). </t>
    </r>
  </si>
  <si>
    <r>
      <t>Factor de emisión del CO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 xml:space="preserve">del tipo de combustible fósil </t>
    </r>
    <r>
      <rPr>
        <i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en el año </t>
    </r>
    <r>
      <rPr>
        <i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(tCO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/GJ) </t>
    </r>
  </si>
  <si>
    <r>
      <t>EG</t>
    </r>
    <r>
      <rPr>
        <b/>
        <i/>
        <vertAlign val="subscript"/>
        <sz val="11"/>
        <color theme="1"/>
        <rFont val="Calibri"/>
        <family val="2"/>
        <scheme val="minor"/>
      </rPr>
      <t>y</t>
    </r>
    <r>
      <rPr>
        <i/>
        <vertAlign val="subscript"/>
        <sz val="11"/>
        <color theme="1"/>
        <rFont val="Calibri"/>
        <family val="2"/>
        <scheme val="minor"/>
      </rPr>
      <t xml:space="preserve">             </t>
    </r>
  </si>
  <si>
    <r>
      <t>Electricidad Neta Generada y despachada a la red eléctrica por todas las plantas que sirven al sistema, sin incluir las plantas "low-cost/must-run" en el año</t>
    </r>
    <r>
      <rPr>
        <i/>
        <sz val="11"/>
        <color theme="1"/>
        <rFont val="Calibri"/>
        <family val="2"/>
        <scheme val="minor"/>
      </rPr>
      <t xml:space="preserve"> y</t>
    </r>
    <r>
      <rPr>
        <sz val="11"/>
        <color theme="1"/>
        <rFont val="Calibri"/>
        <family val="2"/>
        <scheme val="minor"/>
      </rPr>
      <t xml:space="preserve"> (MWh). </t>
    </r>
  </si>
  <si>
    <r>
      <t>Todos los combustibles fósiles</t>
    </r>
    <r>
      <rPr>
        <i/>
        <sz val="11"/>
        <color theme="1"/>
        <rFont val="Calibri"/>
        <family val="2"/>
        <scheme val="minor"/>
      </rPr>
      <t xml:space="preserve"> i</t>
    </r>
    <r>
      <rPr>
        <sz val="11"/>
        <color theme="1"/>
        <rFont val="Calibri"/>
        <family val="2"/>
        <scheme val="minor"/>
      </rPr>
      <t xml:space="preserve"> quemados en las plantas de energía el año </t>
    </r>
    <r>
      <rPr>
        <i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. </t>
    </r>
  </si>
  <si>
    <t>Margen de Operación Simple</t>
  </si>
  <si>
    <r>
      <t>El Factor de emisión del Margen de Operación Simple es calculado como el promedio ponderado de la emisión de CO</t>
    </r>
    <r>
      <rPr>
        <vertAlign val="subscript"/>
        <sz val="11"/>
        <color theme="1"/>
        <rFont val="Calibri Light"/>
        <family val="2"/>
        <scheme val="major"/>
      </rPr>
      <t>2</t>
    </r>
    <r>
      <rPr>
        <sz val="11"/>
        <color theme="1"/>
        <rFont val="Calibri Light"/>
        <family val="2"/>
        <scheme val="major"/>
      </rPr>
      <t xml:space="preserve"> por unidad de generación de energía eléctrica (tCO</t>
    </r>
    <r>
      <rPr>
        <vertAlign val="subscript"/>
        <sz val="11"/>
        <color theme="1"/>
        <rFont val="Calibri Light"/>
        <family val="2"/>
        <scheme val="major"/>
      </rPr>
      <t>2</t>
    </r>
    <r>
      <rPr>
        <sz val="11"/>
        <color theme="1"/>
        <rFont val="Calibri Light"/>
        <family val="2"/>
        <scheme val="major"/>
      </rPr>
      <t xml:space="preserve">/MWh) de todas las plantas de energía que operan en el sistema, sin incluir las plantas de generación low-cost/must-run, que se definen como aquellas con bajo costo marginal de generación  o que son despachados independientemente de la carga diaria o estacional del sistema. </t>
    </r>
  </si>
  <si>
    <t xml:space="preserve">Opción B: Cálculo basado en la cantidad total de combustible y electricidad generada en el sistema.
</t>
  </si>
  <si>
    <t>Bajo esta opción, el factor de emisión de Margen de Operacoón Simple se calcula en función de la electricidad neta suministrada a la red por todas las plantas de energía que sirven al sistema, sin incluir las plantas "low-cost/must-run", y en función de los tipos de combustibles y el consumo de combustible total  del sistema eléctrico , como sigue:</t>
  </si>
  <si>
    <t>Margen Operativo (método promedio)</t>
  </si>
  <si>
    <t>%PBI</t>
  </si>
  <si>
    <t>MWh</t>
  </si>
  <si>
    <t>Público</t>
  </si>
  <si>
    <t>Privado</t>
  </si>
  <si>
    <t>Gasto público total</t>
  </si>
  <si>
    <t>Nacional</t>
  </si>
  <si>
    <t>Provincial</t>
  </si>
  <si>
    <t>Municipal</t>
  </si>
  <si>
    <t>Gasto Seguridad Social</t>
  </si>
  <si>
    <t>Obras Sociales Nacionales</t>
  </si>
  <si>
    <t>Obras Sociales Provinciales</t>
  </si>
  <si>
    <t>INSSJyP (PAMI)</t>
  </si>
  <si>
    <t>Gasto total corriente en salud</t>
  </si>
  <si>
    <t>Energía Eléctrica</t>
  </si>
  <si>
    <t>Gas Distribuido por Redes</t>
  </si>
  <si>
    <t>Gasto Privado en Salud</t>
  </si>
  <si>
    <t xml:space="preserve">Alcance Protocolo GHG </t>
  </si>
  <si>
    <t>Banco Mundial (2017)</t>
  </si>
  <si>
    <t>Salud Sin Daño (2019)</t>
  </si>
  <si>
    <t>The Lancet Planetary Health (2020)</t>
  </si>
  <si>
    <t>Alcance 1 (17%)</t>
  </si>
  <si>
    <t>Alcance 2 (12%)</t>
  </si>
  <si>
    <t>Alcance 3 (71%)</t>
  </si>
  <si>
    <t>Factores de emisión</t>
  </si>
  <si>
    <t xml:space="preserve">Factor de conversión </t>
  </si>
  <si>
    <t>Emisiones totales</t>
  </si>
  <si>
    <t>Gasto en salud (%PBI)</t>
  </si>
  <si>
    <t>Año</t>
  </si>
  <si>
    <t>Fuente</t>
  </si>
  <si>
    <t>¿Cuánto gasta la Argentina en Salud? - Secretaría de Gobierno de Salud - Ministerio de Salud y Desarrollo Social de la Nación (publicado en 2019 en base a datos de 2017)</t>
  </si>
  <si>
    <t>Dato</t>
  </si>
  <si>
    <t>Balance Energético Nacional (BEN) - Energía secundaria - Gas Natural Distribuido - Total consumo final sectores no energéticos</t>
  </si>
  <si>
    <t>Método %PBI</t>
  </si>
  <si>
    <t>Proyecto ICAT Salud - Argentina</t>
  </si>
  <si>
    <r>
      <t>Estimación de emisiones de CO</t>
    </r>
    <r>
      <rPr>
        <b/>
        <vertAlign val="subscript"/>
        <sz val="16"/>
        <color theme="1"/>
        <rFont val="Arial"/>
        <family val="2"/>
      </rPr>
      <t>2</t>
    </r>
    <r>
      <rPr>
        <b/>
        <sz val="16"/>
        <color theme="1"/>
        <rFont val="Arial"/>
        <family val="2"/>
      </rPr>
      <t xml:space="preserve"> del sector salud</t>
    </r>
  </si>
  <si>
    <t>Fuentes de datos: ver sopala "Fuentes y Factores"</t>
  </si>
  <si>
    <r>
      <t>Red eléctrica (tCO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/MWh)</t>
    </r>
  </si>
  <si>
    <t>ENERGÍA SECUNDARIA - CONSUMO FINAL SECTORES NO ENERGÉTICOS</t>
  </si>
  <si>
    <t>Gas Natural Distribuido (miles de tep)</t>
  </si>
  <si>
    <t>DEMANDA TOTAL DE ENERGÍA ELÉCTRICA</t>
  </si>
  <si>
    <t>Asignación de energía eléctrica por % del PBI (MWh)</t>
  </si>
  <si>
    <r>
      <t>tCO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/año</t>
    </r>
  </si>
  <si>
    <r>
      <t>GgCO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/año</t>
    </r>
  </si>
  <si>
    <t>DATOS CONSIDERADOS</t>
  </si>
  <si>
    <t>FACTORES DE EMISIÓN</t>
  </si>
  <si>
    <t>Factor</t>
  </si>
  <si>
    <t>Valor</t>
  </si>
  <si>
    <t>Margen de operación simple - Método B (ver solapa 4 a) Simple OM 2007-2019)</t>
  </si>
  <si>
    <t>-</t>
  </si>
  <si>
    <r>
      <t>Factor de emisión de la red eléctrica (tCO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/MWh)</t>
    </r>
  </si>
  <si>
    <t>TJ</t>
  </si>
  <si>
    <t>Revised 1996 IPCC Guidelines for National Greenhouse Gas Inventories(Table 1-4 on Page 23-24 Chapter 1 - Introduction)
https://www.ipcc-nggip.iges.or.jp/public/2006gl/pdf/2_Volume2/V2_1_Ch1_Introduction.pdf</t>
  </si>
  <si>
    <t>TJ/tep</t>
  </si>
  <si>
    <r>
      <t>Gas Natural (tCO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/TJ)</t>
    </r>
  </si>
  <si>
    <t>Asignación de gas natural por % del PBI (TJ)</t>
  </si>
  <si>
    <r>
      <t>Gas Natural ( tCO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/TJ)</t>
    </r>
  </si>
  <si>
    <t>Demanda de energía eléctrica total (facturado a usuario final)  (MWh)</t>
  </si>
  <si>
    <t>Ver solapa "Fuentes y factores"</t>
  </si>
  <si>
    <r>
      <t>*considera solo emisiones de CO</t>
    </r>
    <r>
      <rPr>
        <vertAlign val="subscript"/>
        <sz val="9"/>
        <color theme="1"/>
        <rFont val="Arial"/>
        <family val="2"/>
      </rPr>
      <t>2</t>
    </r>
  </si>
  <si>
    <t>GASTO PÚBLICO EN SALUD (2017) Y ASIGNACIÓN DE EMISIONES</t>
  </si>
  <si>
    <t>Id Agente</t>
  </si>
  <si>
    <t>Nemo</t>
  </si>
  <si>
    <t>AGENTE DESCRIPCION</t>
  </si>
  <si>
    <t>Tipo de Agente</t>
  </si>
  <si>
    <t>Demanda TOTAL 2016 [MWh]</t>
  </si>
  <si>
    <t>Potencia Media 2016 [MW]</t>
  </si>
  <si>
    <t>ASOASMEN</t>
  </si>
  <si>
    <t>SANATORIO ADVENTISTA DEL PLATA</t>
  </si>
  <si>
    <t>Gran Usuario Menor (GUME)</t>
  </si>
  <si>
    <t>SANAAZCN</t>
  </si>
  <si>
    <t>SANATORIO OTAMENDI Y MIROLI</t>
  </si>
  <si>
    <t>MAPRADCN</t>
  </si>
  <si>
    <t>MAPRIMED - AV. DIRECTORIO 6259</t>
  </si>
  <si>
    <t>HAUSPDON</t>
  </si>
  <si>
    <t>ACES - HOSP UNIVERSIT AUSTRAL</t>
  </si>
  <si>
    <t>FUNDAPCN</t>
  </si>
  <si>
    <t>HOSPITAL NAVAL</t>
  </si>
  <si>
    <t>GD0002PI</t>
  </si>
  <si>
    <t>NUEVO HOSPITAL CENTRAL FORMOSA</t>
  </si>
  <si>
    <t>GRAN DEMANDA EN DISTRIBUIDOR</t>
  </si>
  <si>
    <t>GD0361OI</t>
  </si>
  <si>
    <t>HOSPITAL PROF ALEJANDRO PDAS.</t>
  </si>
  <si>
    <t>GD0363OI</t>
  </si>
  <si>
    <t>HOSPITAL ALEMAN</t>
  </si>
  <si>
    <t>GD0502OI</t>
  </si>
  <si>
    <t>CS SALUD S.A.</t>
  </si>
  <si>
    <t>GD0543OI</t>
  </si>
  <si>
    <t>HOSPITAL MILITAR CENTRAL</t>
  </si>
  <si>
    <t>GD0825OI</t>
  </si>
  <si>
    <t>MSI-HOSP.CENTRAL DE SAN ISIDRO</t>
  </si>
  <si>
    <t>GWUZ25MI</t>
  </si>
  <si>
    <t>HOSPITAL ESPAÑOL</t>
  </si>
  <si>
    <t xml:space="preserve">GRAN DEMANDA EN DISTRIBUIDOR </t>
  </si>
  <si>
    <t>GWAL24QI</t>
  </si>
  <si>
    <t>HOSPITAL REGIONAL NEUQUEN</t>
  </si>
  <si>
    <t>GD0018HI</t>
  </si>
  <si>
    <t>NVO. HOSP. PERRANDO</t>
  </si>
  <si>
    <t>GD1026TI</t>
  </si>
  <si>
    <t>SIPROSA - HOSPITAL PADILLA</t>
  </si>
  <si>
    <t>GD0022AI</t>
  </si>
  <si>
    <t>UTE NUEVO HOSP. EL MILAGRO</t>
  </si>
  <si>
    <t>GD00553I</t>
  </si>
  <si>
    <t>FUNDACION MEDICA</t>
  </si>
  <si>
    <t>GD0600XI</t>
  </si>
  <si>
    <t>GAM S.A.SANAT.ALLENDE</t>
  </si>
  <si>
    <t>GD0601XI</t>
  </si>
  <si>
    <t>HOSPITAL PRIVADO CTRO. MED.CBA</t>
  </si>
  <si>
    <t>GD00212I</t>
  </si>
  <si>
    <t>HOSPITAL INTERZONAL</t>
  </si>
  <si>
    <t>GD0078CI</t>
  </si>
  <si>
    <t>HOSPITAL ITALIANO</t>
  </si>
  <si>
    <t>GD0154CI</t>
  </si>
  <si>
    <t>U.O.C.R.A.-CLINICA FRANCHIN</t>
  </si>
  <si>
    <t>GD0176CI</t>
  </si>
  <si>
    <t>FUNDACION FAVALORO</t>
  </si>
  <si>
    <t>GD0266CI</t>
  </si>
  <si>
    <t>INSTITUTO ARG DEL DIAGNOSTICO</t>
  </si>
  <si>
    <t>GD0327CI</t>
  </si>
  <si>
    <t>HTAL.DE CLINICAS SAN MARTIN</t>
  </si>
  <si>
    <t>GD0406CI</t>
  </si>
  <si>
    <t>HOSPITAL DE PEDIATRIA SAMIC</t>
  </si>
  <si>
    <t>GD0417CI</t>
  </si>
  <si>
    <t>GCBA - HTAL.DR.COSME ARGERICH</t>
  </si>
  <si>
    <t>GD0487CI</t>
  </si>
  <si>
    <t>HOSPITAL BRITANICO DE BS. AS.</t>
  </si>
  <si>
    <t>GD0557CI</t>
  </si>
  <si>
    <t>POLICIA FEDERAL HTAL. CHURRUCA</t>
  </si>
  <si>
    <t>GD0631CI</t>
  </si>
  <si>
    <t>SWISS MEDICAL GROUP S.A.</t>
  </si>
  <si>
    <t>GD0735CI</t>
  </si>
  <si>
    <t>HOSPITAL ESPANOL</t>
  </si>
  <si>
    <t>GD0847CI</t>
  </si>
  <si>
    <t>GALENO ARGENTINA S.A.</t>
  </si>
  <si>
    <t>GD0854CI</t>
  </si>
  <si>
    <t>GD1005CI</t>
  </si>
  <si>
    <t>SWISS MEDICAL GROUP</t>
  </si>
  <si>
    <t>GD0013MI</t>
  </si>
  <si>
    <t>HOSPITAL LUIS LAGOMAGGIORE</t>
  </si>
  <si>
    <t>GD0035MI</t>
  </si>
  <si>
    <t>HOSP HUMBERTO NOTTI</t>
  </si>
  <si>
    <t>GD0193OI</t>
  </si>
  <si>
    <t>SWISS MEDICAL SA</t>
  </si>
  <si>
    <t>GD1029CI</t>
  </si>
  <si>
    <t>CONSOLIDAR SALUD S.A.</t>
  </si>
  <si>
    <t>GD0718OI</t>
  </si>
  <si>
    <t>HOSPITAL MUNICIPAL DE MORON</t>
  </si>
  <si>
    <t>GD1123CI</t>
  </si>
  <si>
    <t>GD6850OI</t>
  </si>
  <si>
    <t>GD0139JI</t>
  </si>
  <si>
    <t>HOSPITAL PUBLICO DESCEN.</t>
  </si>
  <si>
    <t>GD1310CI</t>
  </si>
  <si>
    <t>HTAL. ALTA COM. EL CRUCE SAMIC</t>
  </si>
  <si>
    <t>GD6973XI</t>
  </si>
  <si>
    <t>SECR.M.B.S.HOSP.CBA</t>
  </si>
  <si>
    <t>GD7880OI</t>
  </si>
  <si>
    <t>GD0642SI</t>
  </si>
  <si>
    <t>SANATORIO PARQUE S.A.</t>
  </si>
  <si>
    <t>GCBARMCN</t>
  </si>
  <si>
    <t>GCBA Hospital Ramos</t>
  </si>
  <si>
    <t>GCBAHBCN</t>
  </si>
  <si>
    <t>GCBA Hospital Borda</t>
  </si>
  <si>
    <t>GCBAD1CN</t>
  </si>
  <si>
    <t>GCBA Hospital Durand</t>
  </si>
  <si>
    <t>GCBAHECN</t>
  </si>
  <si>
    <t>GCBA Hospital Elizalde</t>
  </si>
  <si>
    <t>GD8442OI</t>
  </si>
  <si>
    <t>Hospital Comunal de Tigre</t>
  </si>
  <si>
    <t>GCBAGUON</t>
  </si>
  <si>
    <t>GCBA HTAL GUTIERREZ</t>
  </si>
  <si>
    <t>GCBAFEON</t>
  </si>
  <si>
    <t>GCBA HOSPITAL FERNANDEZ</t>
  </si>
  <si>
    <t>Año 2016</t>
  </si>
  <si>
    <t>Total (MWh)</t>
  </si>
  <si>
    <r>
      <t>Emisiones por consumo de energía eléctrica (alcance 2) de la muestra obtenida (año 2016) (tCO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</si>
  <si>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tCO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 xml:space="preserve"> (año 2016)</t>
    </r>
  </si>
  <si>
    <t>Emisiones totales del sector salud (alcance 1, 2 y 3)</t>
  </si>
  <si>
    <t>Enfoque 1</t>
  </si>
  <si>
    <t>Fuente: CAMMESA</t>
  </si>
  <si>
    <t>Enfoque 2</t>
  </si>
  <si>
    <t>Nombre</t>
  </si>
  <si>
    <t>Origen del</t>
  </si>
  <si>
    <t>Provincia</t>
  </si>
  <si>
    <t>Departamen</t>
  </si>
  <si>
    <t>Localidad</t>
  </si>
  <si>
    <t>Domicilio</t>
  </si>
  <si>
    <t>Estado GEO</t>
  </si>
  <si>
    <t>Latitud</t>
  </si>
  <si>
    <t>Longitud</t>
  </si>
  <si>
    <t>Camas generales habilitadas</t>
  </si>
  <si>
    <t>Camas cuidados especiales habilitadas</t>
  </si>
  <si>
    <t>Camas maternidad habilitadas</t>
  </si>
  <si>
    <t>Camas terapia intensiva adultos habilitadas</t>
  </si>
  <si>
    <t>Camas no discriminadas habilitadas</t>
  </si>
  <si>
    <t>Capacidad expandida camas generales habilitadas</t>
  </si>
  <si>
    <t>Capacidad Expandida de Cuidados Especiales habilitadas</t>
  </si>
  <si>
    <t>Capacidad expandida UTI Adultos habilitadas</t>
  </si>
  <si>
    <t>Total Camas</t>
  </si>
  <si>
    <t>Zona</t>
  </si>
  <si>
    <t>Zona y sub</t>
  </si>
  <si>
    <t>Region</t>
  </si>
  <si>
    <t>Tipo de agente</t>
  </si>
  <si>
    <t>Demanda total 2016 (Mwh)</t>
  </si>
  <si>
    <t>Potencia media (MW)</t>
  </si>
  <si>
    <t>HOSPITAL DE PEDIATRIA DR. JUAN P. GARRAHAN</t>
  </si>
  <si>
    <t>ESCIEP</t>
  </si>
  <si>
    <t>Alto riesgo con terapia intensiva especializada</t>
  </si>
  <si>
    <t>CABA</t>
  </si>
  <si>
    <t>COMUNA 4</t>
  </si>
  <si>
    <t>PARQUE PATRICIOS</t>
  </si>
  <si>
    <t>COMBATE DE LOS POZOS 1881</t>
  </si>
  <si>
    <t>CORREGIDO</t>
  </si>
  <si>
    <t>-34.630696</t>
  </si>
  <si>
    <t>-58.3926641</t>
  </si>
  <si>
    <t>3b</t>
  </si>
  <si>
    <t>Centro</t>
  </si>
  <si>
    <t>SANATORIO OTAMENDI Y MIROLI S.A.</t>
  </si>
  <si>
    <t>ESCIG</t>
  </si>
  <si>
    <t>Alto riesgo con terapia intensiva</t>
  </si>
  <si>
    <t>COMUNA 2</t>
  </si>
  <si>
    <t>RECOLETA</t>
  </si>
  <si>
    <t>AzcuÃ©naga 870</t>
  </si>
  <si>
    <t>-seleccione-</t>
  </si>
  <si>
    <t>-34.59854288</t>
  </si>
  <si>
    <t>-58.40078831</t>
  </si>
  <si>
    <t>1.06603E+13</t>
  </si>
  <si>
    <t>HOSPITAL SEÃ?OR DEL MILAGRO</t>
  </si>
  <si>
    <t>ESCIE</t>
  </si>
  <si>
    <t>Salta</t>
  </si>
  <si>
    <t>CAPITAL</t>
  </si>
  <si>
    <t>SALTA</t>
  </si>
  <si>
    <t>AVENIDA SARMIENTO 557</t>
  </si>
  <si>
    <t>CONFIRMADO</t>
  </si>
  <si>
    <t>-24.78281433</t>
  </si>
  <si>
    <t>-65.4159533</t>
  </si>
  <si>
    <t>3a</t>
  </si>
  <si>
    <t>NOA</t>
  </si>
  <si>
    <t>1.00657E+13</t>
  </si>
  <si>
    <t>HOSPITAL NACIONAL PROFESOR DR. ALEJANDRO POSADAS</t>
  </si>
  <si>
    <t>Buenos Aires</t>
  </si>
  <si>
    <t>VILLA SARMIENTO</t>
  </si>
  <si>
    <t>PTE. A ILLIA Y MARCONI</t>
  </si>
  <si>
    <t>-34.63059485</t>
  </si>
  <si>
    <t>-58.57506752</t>
  </si>
  <si>
    <t>INSTITUTO ARGENTINO DE DIAGNOSTICO Y TRATAMIENTO S.A.</t>
  </si>
  <si>
    <t>Marcelo T. de Alvear 2346</t>
  </si>
  <si>
    <t>-34.59665292</t>
  </si>
  <si>
    <t>-58.40091705</t>
  </si>
  <si>
    <t>1.01401E+13</t>
  </si>
  <si>
    <t>SANATORIO ALLENDE CERRO</t>
  </si>
  <si>
    <t>CORDOBA</t>
  </si>
  <si>
    <t>Pedro Laplace 5749</t>
  </si>
  <si>
    <t>-31.3583177</t>
  </si>
  <si>
    <t>-64.2422483</t>
  </si>
  <si>
    <t>HOSPITAL NAVAL BUENOS AIRES CIRUJANO MAYOR DR. PEDRO MALLO</t>
  </si>
  <si>
    <t>FFAA/Seguridad</t>
  </si>
  <si>
    <t>COMUNA 6</t>
  </si>
  <si>
    <t>CABALLITO</t>
  </si>
  <si>
    <t>Avenida Patricias Argentinas 351</t>
  </si>
  <si>
    <t>*sin dato*</t>
  </si>
  <si>
    <t>-34.6051579</t>
  </si>
  <si>
    <t>-58.433411</t>
  </si>
  <si>
    <t>HOSPITAL DE CLINICAS JOSE DE SAN MARTIN</t>
  </si>
  <si>
    <t>-34.599408</t>
  </si>
  <si>
    <t>-58.400341</t>
  </si>
  <si>
    <t>1.03002E+13</t>
  </si>
  <si>
    <t>DIAMANTE</t>
  </si>
  <si>
    <t>VILLA LIBERTADOR SAN MARTIN</t>
  </si>
  <si>
    <t>25 DE MAYO 255</t>
  </si>
  <si>
    <t>-32.073894</t>
  </si>
  <si>
    <t>-60.4637</t>
  </si>
  <si>
    <t>2b</t>
  </si>
  <si>
    <t>1.05002E+13</t>
  </si>
  <si>
    <t>HOSPITAL ESPAÃ?OL.-</t>
  </si>
  <si>
    <t>Mutual</t>
  </si>
  <si>
    <t>Mendoza</t>
  </si>
  <si>
    <t>GODOY CRUZ</t>
  </si>
  <si>
    <t>AVENIDA SAN MARTÃ??N 965</t>
  </si>
  <si>
    <t>-32.91493622</t>
  </si>
  <si>
    <t>-68.8452673</t>
  </si>
  <si>
    <t>4a</t>
  </si>
  <si>
    <t>Cuyo</t>
  </si>
  <si>
    <t>1.00664E+13</t>
  </si>
  <si>
    <t>HOSPITAL UNIVERSITARIO AUSTRAL</t>
  </si>
  <si>
    <t>PILAR</t>
  </si>
  <si>
    <t>PRESIDENTE DERQUI</t>
  </si>
  <si>
    <t>Avenida Juan Domingo PerÃ?n 1500</t>
  </si>
  <si>
    <t>-34.4558707</t>
  </si>
  <si>
    <t>-58.8639555</t>
  </si>
  <si>
    <t>HOSPITAL ITALIANO DE BUENOS AIRES</t>
  </si>
  <si>
    <t>COMUNA 5</t>
  </si>
  <si>
    <t>BOEDO</t>
  </si>
  <si>
    <t>GascÃ?n 450</t>
  </si>
  <si>
    <t>-34.6066544</t>
  </si>
  <si>
    <t>-58.4247817</t>
  </si>
  <si>
    <t>HOSPITAL GENERAL DE NIÃ?OS PEDRO DE ELIZALDE</t>
  </si>
  <si>
    <t>BARRACAS</t>
  </si>
  <si>
    <t>MANUEL A. MONTES DE OCA 40</t>
  </si>
  <si>
    <t>-34.6289328</t>
  </si>
  <si>
    <t>-58.3778276</t>
  </si>
  <si>
    <t>HOSPITAL GENERAL DE AGUDOS DR. COSME ARGERICH</t>
  </si>
  <si>
    <t>BOCA</t>
  </si>
  <si>
    <t>CORBETA PI Y MARGAL 750</t>
  </si>
  <si>
    <t>-34.62785811</t>
  </si>
  <si>
    <t>-58.36611271</t>
  </si>
  <si>
    <t>1.00681E+13</t>
  </si>
  <si>
    <t>HOSPITAL COMUNAL DE TIGRE</t>
  </si>
  <si>
    <t>TIGRE</t>
  </si>
  <si>
    <t>MaipÃ? 257</t>
  </si>
  <si>
    <t>SINCONFIRMAR</t>
  </si>
  <si>
    <t>-34.4147733</t>
  </si>
  <si>
    <t>-58.5883175</t>
  </si>
  <si>
    <t>1.03401E+13</t>
  </si>
  <si>
    <t>HOSPITAL CENTRAL</t>
  </si>
  <si>
    <t>Formosa</t>
  </si>
  <si>
    <t>FORMOSA</t>
  </si>
  <si>
    <t>SALTA 550</t>
  </si>
  <si>
    <t>-26.1891553</t>
  </si>
  <si>
    <t>-58.1681914</t>
  </si>
  <si>
    <t>1b</t>
  </si>
  <si>
    <t>NEA</t>
  </si>
  <si>
    <t>HOSPITAL GENERAL DE AGUDOS DR. JUAN A. FERNANDEZ</t>
  </si>
  <si>
    <t>COMUNA 14</t>
  </si>
  <si>
    <t>PALERMO</t>
  </si>
  <si>
    <t>CerviÃ?o 3356</t>
  </si>
  <si>
    <t>-34.5814611</t>
  </si>
  <si>
    <t>-58.40701103</t>
  </si>
  <si>
    <t>SOCIEDAD ESPAÃ?OLA DE BENEFICENCIA HOSPITAL ESPAÃ?OL</t>
  </si>
  <si>
    <t>COMUNA 3</t>
  </si>
  <si>
    <t>BALVANERA</t>
  </si>
  <si>
    <t>Avenida Belgrano 2975</t>
  </si>
  <si>
    <t>-34.61505605</t>
  </si>
  <si>
    <t>-58.40786934</t>
  </si>
  <si>
    <t>1.00643E+13</t>
  </si>
  <si>
    <t>HOSPITAL ITALIANO DE SAN JUSTO</t>
  </si>
  <si>
    <t>LA MATANZA</t>
  </si>
  <si>
    <t>SAN JUSTO</t>
  </si>
  <si>
    <t>Calle Presidente PerÃ?n Ná?? 2231</t>
  </si>
  <si>
    <t>-34.6717671</t>
  </si>
  <si>
    <t>-58.5697348</t>
  </si>
  <si>
    <t>1.00627E+13</t>
  </si>
  <si>
    <t>HOSPITAL DE ALTA COMPLEJIDAD EL CRUCE</t>
  </si>
  <si>
    <t>Mixta</t>
  </si>
  <si>
    <t>FLORENCIO VARELA</t>
  </si>
  <si>
    <t>Avenida CalchaquÃ­ 5401</t>
  </si>
  <si>
    <t>-34.7708411</t>
  </si>
  <si>
    <t>-58.2697571</t>
  </si>
  <si>
    <t>1.02214E+13</t>
  </si>
  <si>
    <t>HOSPITAL DR. JULIO CECILIO PERRANDO</t>
  </si>
  <si>
    <t>Chaco</t>
  </si>
  <si>
    <t>SAN FERNANDO</t>
  </si>
  <si>
    <t>RESISTENCIA</t>
  </si>
  <si>
    <t>Avenida 9 de Julio 1100</t>
  </si>
  <si>
    <t>-27.4597908</t>
  </si>
  <si>
    <t>-58.9769156</t>
  </si>
  <si>
    <t>HOSPITAL GENERAL DE AGUDOS DR. CARLOS G. DURAND</t>
  </si>
  <si>
    <t>AMBROSETTI 743</t>
  </si>
  <si>
    <t>-34.61011127</t>
  </si>
  <si>
    <t>-58.43928337</t>
  </si>
  <si>
    <t>Avenida PueyrredÃ?n 1650</t>
  </si>
  <si>
    <t>-34.59225818</t>
  </si>
  <si>
    <t>-58.40124106</t>
  </si>
  <si>
    <t>HOSPITAL COMPLEJO MEDICO DE LA POLICIA FEDERAL CHURRUCA - VISCA</t>
  </si>
  <si>
    <t>Uspallata 3400</t>
  </si>
  <si>
    <t>-34.639546</t>
  </si>
  <si>
    <t>-58.41143131</t>
  </si>
  <si>
    <t>1.15003E+13</t>
  </si>
  <si>
    <t>HOSPITAL HUMBERTO J. NOTTI.-</t>
  </si>
  <si>
    <t>GUAYMALLÃ?N</t>
  </si>
  <si>
    <t>GUAYMALLEN</t>
  </si>
  <si>
    <t>AV. BANDERA DE LOS ANDES 2603</t>
  </si>
  <si>
    <t>-32.897464</t>
  </si>
  <si>
    <t>-68.80427</t>
  </si>
  <si>
    <t>1.09008E+13</t>
  </si>
  <si>
    <t>HOSPITAL ANGEL CRUZ PADILLA</t>
  </si>
  <si>
    <t>TucumÃ?n</t>
  </si>
  <si>
    <t>SAN MIGUEL DE TUCUMAN</t>
  </si>
  <si>
    <t>Alberdi 550</t>
  </si>
  <si>
    <t>-26.8364006</t>
  </si>
  <si>
    <t>-65.2159206</t>
  </si>
  <si>
    <t>SANATORIO FRANCHIN - OBRA SOCIAL DEL PERSONAL DE LA CONSTRUCCION</t>
  </si>
  <si>
    <t>Obra social</t>
  </si>
  <si>
    <t>ALMAGRO</t>
  </si>
  <si>
    <t>BartolomÃ© Mitre 3545</t>
  </si>
  <si>
    <t>-34.60947549</t>
  </si>
  <si>
    <t>-58.4167099</t>
  </si>
  <si>
    <t>HOSPITAL GENERAL DE NIÃ?OS DR. RICARDO GUTIERREZ</t>
  </si>
  <si>
    <t>Gallo 1330</t>
  </si>
  <si>
    <t>-34.5945525</t>
  </si>
  <si>
    <t>-58.4111781</t>
  </si>
  <si>
    <t>1.05804E+13</t>
  </si>
  <si>
    <t>HTAL PROV NEUQUEN - DR EDUARDO CASTRO RENDON</t>
  </si>
  <si>
    <t>NeuquÃ©n</t>
  </si>
  <si>
    <t>CONFLUENCIA</t>
  </si>
  <si>
    <t>NEUQUEN</t>
  </si>
  <si>
    <t>BUENOS AIRES 451</t>
  </si>
  <si>
    <t>-38.95023341</t>
  </si>
  <si>
    <t>-68.05691982</t>
  </si>
  <si>
    <t>4b</t>
  </si>
  <si>
    <t>Sur</t>
  </si>
  <si>
    <t>HOSPITAL MUNICIPAL OSTACIANA B. DE LAVIGNOLE</t>
  </si>
  <si>
    <t>Doctor Rodolfo Monte 848</t>
  </si>
  <si>
    <t>-34.6586848</t>
  </si>
  <si>
    <t>-58.6104227</t>
  </si>
  <si>
    <t>HOSPITAL MILITAR CENTRAL CIRUJANO MAYOR DR. COSME ARGERICH</t>
  </si>
  <si>
    <t>Avenida Luis MarÃ­a Campos 726</t>
  </si>
  <si>
    <t>-34.57017053</t>
  </si>
  <si>
    <t>-58.43622673</t>
  </si>
  <si>
    <t>1.00676E+13</t>
  </si>
  <si>
    <t>HOSPITAL CENTRAL DE SAN ISIDRO DR. MELCHOR A. POSSE</t>
  </si>
  <si>
    <t>SAN ISIDRO</t>
  </si>
  <si>
    <t>ACASSUSO</t>
  </si>
  <si>
    <t>Avenida Santa Fe 431</t>
  </si>
  <si>
    <t>-34.4774707</t>
  </si>
  <si>
    <t>-58.5096515</t>
  </si>
  <si>
    <t>HOSPITAL GENERAL DE AGUDOS JOSE MARIA RAMOS MEJIA</t>
  </si>
  <si>
    <t>GENERAL URQUIZA 609</t>
  </si>
  <si>
    <t>-34.61749301</t>
  </si>
  <si>
    <t>-58.40947866</t>
  </si>
  <si>
    <t>1.05001E+13</t>
  </si>
  <si>
    <t>HOSPITAL LUIS C. LAGOMAGGIORE.-</t>
  </si>
  <si>
    <t>7A. SECCION</t>
  </si>
  <si>
    <t>TIMOTEO GORDILLO S/N</t>
  </si>
  <si>
    <t>-32.8721929</t>
  </si>
  <si>
    <t>-68.8638006</t>
  </si>
  <si>
    <t>1.08208E+13</t>
  </si>
  <si>
    <t>SANATORIO PARQUE</t>
  </si>
  <si>
    <t>Santa Fe</t>
  </si>
  <si>
    <t>ROSARIO</t>
  </si>
  <si>
    <t>Bv. OroÃ?o 860</t>
  </si>
  <si>
    <t>-32.94428057</t>
  </si>
  <si>
    <t>-60.65366149</t>
  </si>
  <si>
    <t>CLINICA CRUZ CELESTE</t>
  </si>
  <si>
    <t>VILLA LUZURIAGA</t>
  </si>
  <si>
    <t>BermÃ?dez 2895</t>
  </si>
  <si>
    <t>-34.665999</t>
  </si>
  <si>
    <t>-58.5852202</t>
  </si>
  <si>
    <t>1.00636E+13</t>
  </si>
  <si>
    <t>HOSPITAL PRIVADO DE COMUNIDAD</t>
  </si>
  <si>
    <t>GENERAL PUEYRREDÃ?N</t>
  </si>
  <si>
    <t>MAR DEL PLATA</t>
  </si>
  <si>
    <t>Cordoba 4545</t>
  </si>
  <si>
    <t>-37.99325414</t>
  </si>
  <si>
    <t>-57.553339</t>
  </si>
  <si>
    <t>4d</t>
  </si>
  <si>
    <t>HOSPITAL BRITANICO DE BUENOS AIRES</t>
  </si>
  <si>
    <t>Perdriel 74</t>
  </si>
  <si>
    <t>-34.63440848</t>
  </si>
  <si>
    <t>-58.38823557</t>
  </si>
  <si>
    <t>HOSPITAL GENERAL DE AGUDOS DR. ENRIQUE TORNU</t>
  </si>
  <si>
    <t>COMUNA 15</t>
  </si>
  <si>
    <t>PARQUE CHAS</t>
  </si>
  <si>
    <t>Combatientes de Malvinas 3002</t>
  </si>
  <si>
    <t>-34.5866858</t>
  </si>
  <si>
    <t>-58.4726934</t>
  </si>
  <si>
    <t>INSTITUTO DE CARDIOLOGIA Y CIRUGIA CARDIOVASCULAR - FUNDACION FAVALORO (EDIFICIO CENTRAL)</t>
  </si>
  <si>
    <t>COMUNA 1</t>
  </si>
  <si>
    <t>MONSERRAT</t>
  </si>
  <si>
    <t>Av. Belgrano 1746</t>
  </si>
  <si>
    <t>-34.61381988</t>
  </si>
  <si>
    <t>-58.39108944</t>
  </si>
  <si>
    <t>HOSPITAL PRIVADO UNIVERSITARIO DE CORDOBA</t>
  </si>
  <si>
    <t>Avenida Naciones Unidas 346</t>
  </si>
  <si>
    <t>-31.4420503</t>
  </si>
  <si>
    <t>-64.1993524</t>
  </si>
  <si>
    <t>1.07003E+13</t>
  </si>
  <si>
    <t>HOSPITAL PUBLICO DE GESTION DESCENTRALIZADA DR. GUILLERMO RAWSON</t>
  </si>
  <si>
    <t>San Juan</t>
  </si>
  <si>
    <t>SAN JUAN</t>
  </si>
  <si>
    <t>AVENIDA RAWSON SUR 494</t>
  </si>
  <si>
    <t>-31.539636</t>
  </si>
  <si>
    <t>-68.514611</t>
  </si>
  <si>
    <t>1.07001E+13</t>
  </si>
  <si>
    <t>HOSPITAL DR. JOSE GIORDANO</t>
  </si>
  <si>
    <t>VILLA GENERAL SAN MARTIN</t>
  </si>
  <si>
    <t>Calle Sarmiento entre TucumÃ?n y Bá??? Pintor</t>
  </si>
  <si>
    <t>-31.43886102</t>
  </si>
  <si>
    <t>-68.51360679</t>
  </si>
  <si>
    <t>Código</t>
  </si>
  <si>
    <t>Tipología</t>
  </si>
  <si>
    <t>Categoría</t>
  </si>
  <si>
    <t>Dependencia</t>
  </si>
  <si>
    <t>Camas pediátricas habilitadas</t>
  </si>
  <si>
    <t>Camas neonatología habilitadas</t>
  </si>
  <si>
    <t>Camas de internación prolongada habilitadas</t>
  </si>
  <si>
    <t>Camas Hospital de día habilitadas</t>
  </si>
  <si>
    <t>Camas terapia intensiva pediátricas habilitadas</t>
  </si>
  <si>
    <t>Capacidad expandida UTI Pediátrica habilitadas</t>
  </si>
  <si>
    <t>Universitario Público</t>
  </si>
  <si>
    <t>MORÓN</t>
  </si>
  <si>
    <t>Córdoba</t>
  </si>
  <si>
    <t>AV. Córdoba 2351</t>
  </si>
  <si>
    <t>Entre Ríos</t>
  </si>
  <si>
    <t>ALBARDÓN</t>
  </si>
  <si>
    <t>CAMMESA</t>
  </si>
  <si>
    <t>Reporte de Sustentabilidad del Hospital Italiano de Buenos Aires</t>
  </si>
  <si>
    <t>Reporte de Sustentabilidad de la Clínica Cruz Celeste (2020).</t>
  </si>
  <si>
    <t>Huella de Carbono del Hospital Tornú</t>
  </si>
  <si>
    <t xml:space="preserve">Energy efficiency and cooling audits in health care facilities in Argentina, China, and the Philippines. </t>
  </si>
  <si>
    <r>
      <t>Emisiones por consumo de energía eléctrica (alcance 2) de la muestra obtenida EAS con internación (año 2016) (tCO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</si>
  <si>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>Fuente: CAMMESA y REFES.</t>
  </si>
  <si>
    <t>*Se agregan consumos hallados en Reportes de Sustentabilidad y Publicaciones (ver columna "Fuente" para más información)</t>
  </si>
  <si>
    <r>
      <t>tCO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/cama</t>
    </r>
  </si>
  <si>
    <t>MWh/cama</t>
  </si>
  <si>
    <t>Mediano riesgo con internación con cuidados especiales</t>
  </si>
  <si>
    <t>BUR3 (2016)</t>
  </si>
  <si>
    <t>Emisiones sector “Comercial/Institucional”</t>
  </si>
  <si>
    <t>% respecto del sector "Comercial/Institucional"</t>
  </si>
  <si>
    <r>
      <t>Emisiones por categoría (GgCO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e)</t>
    </r>
  </si>
  <si>
    <r>
      <t>Gg CO</t>
    </r>
    <r>
      <rPr>
        <vertAlign val="subscript"/>
        <sz val="9"/>
        <color theme="1"/>
        <rFont val="Arial"/>
        <family val="2"/>
      </rPr>
      <t>2</t>
    </r>
  </si>
  <si>
    <r>
      <rPr>
        <b/>
        <sz val="9"/>
        <color theme="1"/>
        <rFont val="Arial"/>
        <family val="2"/>
      </rPr>
      <t>ENFOQUE 1</t>
    </r>
    <r>
      <rPr>
        <sz val="9"/>
        <color theme="1"/>
        <rFont val="Arial"/>
        <family val="2"/>
      </rPr>
      <t>: Emisiones por consumo de energía eléctrica (alcance 2) de la muestra obtenida (año 2016) (tCO2)</t>
    </r>
  </si>
  <si>
    <r>
      <rPr>
        <b/>
        <sz val="9"/>
        <color theme="1"/>
        <rFont val="Arial"/>
        <family val="2"/>
      </rPr>
      <t>ENFOQUE 2:</t>
    </r>
    <r>
      <rPr>
        <sz val="9"/>
        <color theme="1"/>
        <rFont val="Arial"/>
        <family val="2"/>
      </rPr>
      <t xml:space="preserve"> Emisiones por consumo de energía eléctrica (alcance 2) de la muestra obtenida EAS con internación (año 2016) (tCO2)</t>
    </r>
  </si>
  <si>
    <r>
      <rPr>
        <b/>
        <sz val="9"/>
        <color rgb="FF000000"/>
        <rFont val="Arial"/>
        <family val="2"/>
      </rPr>
      <t>ENFOQUE 3:</t>
    </r>
    <r>
      <rPr>
        <sz val="9"/>
        <color rgb="FF000000"/>
        <rFont val="Arial"/>
        <family val="2"/>
      </rPr>
      <t xml:space="preserve"> Emisiones totales del sector salud (alcance 1, 2 y 3)</t>
    </r>
  </si>
  <si>
    <t>Análisis incluidos en el D#22</t>
  </si>
  <si>
    <t>EMISIONES CALCULADAS EN BASE A FUENTES SECUNDARIAS DE INFORMACIÓN (Base BUR4)</t>
  </si>
  <si>
    <t>Demanda de Energía Eléctrica por Sector (datos provisorios provistos por la Secretaría de Energía).</t>
  </si>
  <si>
    <t>Enfoque 3 (%PBI)</t>
  </si>
  <si>
    <t>Base de calculo de la estimación de emisiones del sector salud en Argentina, realizadas  a partir de fuentes secundarias de información.</t>
  </si>
  <si>
    <t>GEI Sector Salud (% de total de GEI)</t>
  </si>
  <si>
    <t>Fuente de referencia</t>
  </si>
  <si>
    <t>3% - 5%</t>
  </si>
  <si>
    <r>
      <t>GgCO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e</t>
    </r>
  </si>
  <si>
    <t>2,4%* </t>
  </si>
  <si>
    <t>GEI Sector Salud (% del total INGEI)</t>
  </si>
  <si>
    <t xml:space="preserve"> </t>
  </si>
  <si>
    <t>3,88% </t>
  </si>
  <si>
    <t>Emisiones por categoría  (GgCO2e)*</t>
  </si>
  <si>
    <t>Scope GHG Protocol</t>
  </si>
  <si>
    <t>Datos locales base</t>
  </si>
  <si>
    <t>GgCO2e</t>
  </si>
  <si>
    <t>Población</t>
  </si>
  <si>
    <t>tCO2e/cápita</t>
  </si>
  <si>
    <t>Emisiones totales GEI BUR4</t>
  </si>
  <si>
    <t>Emisiones de la categoría 1A4 Otros sectores - 1A4a Comercial/Institucional</t>
  </si>
  <si>
    <t xml:space="preserve"> GgCO2e </t>
  </si>
  <si>
    <t>Emisiones de la categoría 1A1a “Producción de electricidad y calor como actividad principal</t>
  </si>
  <si>
    <t>Análisis incluidos en el D#20 y 21</t>
  </si>
  <si>
    <t>BUR4 (emisiones 2017)</t>
  </si>
  <si>
    <t xml:space="preserve">Banco Mundial </t>
  </si>
  <si>
    <t xml:space="preserve">Salud Sin Daño </t>
  </si>
  <si>
    <t>The Lancet Planetary Health</t>
  </si>
  <si>
    <t>Estimación en base a Huella Climática del sector de la Salud - Salud Sin Daño</t>
  </si>
  <si>
    <t xml:space="preserve">Estimación en base al Banco Mundial </t>
  </si>
  <si>
    <t>Estimación en base a The Lancet Planetary Health</t>
  </si>
  <si>
    <t>GEI Sector Salud año 2017</t>
  </si>
  <si>
    <r>
      <t>Banco Mundial + BUR 4 (emisiones 2017) expresado en GgCO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e</t>
    </r>
  </si>
  <si>
    <r>
      <t>Salud Sin Daño + BUR 4 (emisiones 2017 + población 2017) expresado en GgCO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e</t>
    </r>
  </si>
  <si>
    <r>
      <t>Enfoque 3 - Emisiones del sector salud por %PBI. Expesado en GgCO</t>
    </r>
    <r>
      <rPr>
        <vertAlign val="subscript"/>
        <sz val="10"/>
        <color rgb="FF000000"/>
        <rFont val="Arial"/>
        <family val="2"/>
      </rPr>
      <t>2</t>
    </r>
  </si>
  <si>
    <r>
      <t>The Lancet Planetary Health + BUR 4 (emisiones 2017) expresado en GgCO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</si>
</sst>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0.000"/>
    <numFmt numFmtId="166" formatCode="_ * #,##0_ ;_ * \-#,##0_ ;_ * &quot;-&quot;??_ ;_ @_ "/>
    <numFmt numFmtId="167" formatCode="0.0"/>
    <numFmt numFmtId="168" formatCode="#,##0.000"/>
    <numFmt numFmtId="169" formatCode="_-* #,##0.00\ _P_t_s_-;\-* #,##0.00\ _P_t_s_-;_-* &quot;-&quot;??\ _P_t_s_-;_-@_-"/>
    <numFmt numFmtId="170" formatCode="_(* #,##0.00_);_(* \(#,##0.00\);_(* &quot;-&quot;??_);_(@_)"/>
    <numFmt numFmtId="171" formatCode="_ * #,##0.00000_ ;_ * \-#,##0.00000_ ;_ * &quot;-&quot;??_ ;_ @_ "/>
    <numFmt numFmtId="172" formatCode="0.0%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3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8"/>
      <color theme="1"/>
      <name val="Calibri"/>
      <family val="2"/>
      <scheme val="minor"/>
    </font>
    <font>
      <vertAlign val="subscript"/>
      <sz val="11"/>
      <color theme="1"/>
      <name val="Calibri Light"/>
      <family val="2"/>
      <scheme val="major"/>
    </font>
    <font>
      <sz val="8"/>
      <color theme="3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0"/>
      <name val="Arial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vertAlign val="subscript"/>
      <sz val="16"/>
      <color theme="1"/>
      <name val="Arial"/>
      <family val="2"/>
    </font>
    <font>
      <sz val="9"/>
      <color theme="1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bscript"/>
      <sz val="9"/>
      <color theme="1"/>
      <name val="Arial"/>
      <family val="2"/>
    </font>
    <font>
      <i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sz val="9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vertAlign val="subscript"/>
      <sz val="10"/>
      <color theme="1"/>
      <name val="Arial"/>
      <family val="2"/>
    </font>
    <font>
      <vertAlign val="subscript"/>
      <sz val="9"/>
      <color rgb="FF000000"/>
      <name val="Arial"/>
      <family val="2"/>
    </font>
    <font>
      <vertAlign val="subscript"/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E2E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n">
        <color rgb="FF0070C0"/>
      </right>
      <top/>
      <bottom/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70C0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indexed="64"/>
      </bottom>
      <diagonal/>
    </border>
    <border>
      <left style="thin">
        <color rgb="FF0070C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0" applyFont="1" applyBorder="1" applyAlignment="1">
      <alignment horizontal="right"/>
    </xf>
    <xf numFmtId="0" fontId="6" fillId="3" borderId="0" xfId="0" applyFont="1" applyFill="1"/>
    <xf numFmtId="0" fontId="2" fillId="0" borderId="0" xfId="0" applyFont="1"/>
    <xf numFmtId="0" fontId="4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6" fillId="0" borderId="0" xfId="0" applyFont="1"/>
    <xf numFmtId="0" fontId="2" fillId="0" borderId="6" xfId="0" applyFont="1" applyBorder="1"/>
    <xf numFmtId="2" fontId="2" fillId="0" borderId="6" xfId="0" applyNumberFormat="1" applyFont="1" applyBorder="1"/>
    <xf numFmtId="0" fontId="2" fillId="0" borderId="7" xfId="0" applyFont="1" applyBorder="1"/>
    <xf numFmtId="0" fontId="0" fillId="0" borderId="4" xfId="0" applyBorder="1"/>
    <xf numFmtId="2" fontId="0" fillId="0" borderId="4" xfId="0" applyNumberFormat="1" applyBorder="1"/>
    <xf numFmtId="2" fontId="12" fillId="0" borderId="4" xfId="0" applyNumberFormat="1" applyFont="1" applyBorder="1" applyAlignment="1">
      <alignment horizontal="center" vertical="center"/>
    </xf>
    <xf numFmtId="167" fontId="12" fillId="0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0" fillId="0" borderId="4" xfId="1" applyNumberFormat="1" applyFont="1" applyBorder="1"/>
    <xf numFmtId="165" fontId="0" fillId="0" borderId="4" xfId="0" applyNumberFormat="1" applyBorder="1"/>
    <xf numFmtId="0" fontId="12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4" fillId="4" borderId="8" xfId="0" applyFont="1" applyFill="1" applyBorder="1" applyAlignment="1">
      <alignment horizontal="left" vertical="center"/>
    </xf>
    <xf numFmtId="0" fontId="0" fillId="4" borderId="9" xfId="0" applyFill="1" applyBorder="1"/>
    <xf numFmtId="0" fontId="0" fillId="4" borderId="10" xfId="0" applyFill="1" applyBorder="1"/>
    <xf numFmtId="0" fontId="0" fillId="0" borderId="11" xfId="0" applyBorder="1"/>
    <xf numFmtId="2" fontId="0" fillId="0" borderId="11" xfId="0" applyNumberFormat="1" applyBorder="1"/>
    <xf numFmtId="0" fontId="16" fillId="5" borderId="0" xfId="0" applyFont="1" applyFill="1"/>
    <xf numFmtId="0" fontId="17" fillId="5" borderId="0" xfId="0" applyFont="1" applyFill="1"/>
    <xf numFmtId="3" fontId="17" fillId="5" borderId="14" xfId="1" applyNumberFormat="1" applyFont="1" applyFill="1" applyBorder="1" applyAlignment="1">
      <alignment horizontal="center" vertical="center"/>
    </xf>
    <xf numFmtId="3" fontId="19" fillId="6" borderId="1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5" borderId="16" xfId="0" applyFont="1" applyFill="1" applyBorder="1" applyAlignment="1">
      <alignment horizontal="center" vertical="center" wrapText="1"/>
    </xf>
    <xf numFmtId="3" fontId="17" fillId="5" borderId="17" xfId="1" applyNumberFormat="1" applyFont="1" applyFill="1" applyBorder="1" applyAlignment="1">
      <alignment horizontal="center" vertical="center"/>
    </xf>
    <xf numFmtId="3" fontId="17" fillId="5" borderId="18" xfId="1" applyNumberFormat="1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 wrapText="1"/>
    </xf>
    <xf numFmtId="3" fontId="17" fillId="5" borderId="20" xfId="1" applyNumberFormat="1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 wrapText="1"/>
    </xf>
    <xf numFmtId="3" fontId="17" fillId="5" borderId="22" xfId="1" applyNumberFormat="1" applyFont="1" applyFill="1" applyBorder="1" applyAlignment="1">
      <alignment horizontal="center" vertical="center"/>
    </xf>
    <xf numFmtId="3" fontId="17" fillId="5" borderId="23" xfId="1" applyNumberFormat="1" applyFont="1" applyFill="1" applyBorder="1" applyAlignment="1">
      <alignment horizontal="center" vertical="center"/>
    </xf>
    <xf numFmtId="0" fontId="20" fillId="0" borderId="0" xfId="0" applyFont="1"/>
    <xf numFmtId="0" fontId="0" fillId="8" borderId="5" xfId="0" applyFill="1" applyBorder="1" applyAlignment="1">
      <alignment horizontal="center" wrapText="1"/>
    </xf>
    <xf numFmtId="0" fontId="0" fillId="8" borderId="24" xfId="0" applyFill="1" applyBorder="1" applyAlignment="1">
      <alignment horizontal="center" wrapText="1"/>
    </xf>
    <xf numFmtId="0" fontId="0" fillId="8" borderId="25" xfId="0" applyFill="1" applyBorder="1" applyAlignment="1">
      <alignment horizontal="center" wrapText="1"/>
    </xf>
    <xf numFmtId="0" fontId="0" fillId="8" borderId="11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17" fillId="0" borderId="0" xfId="0" applyFont="1"/>
    <xf numFmtId="0" fontId="18" fillId="5" borderId="0" xfId="0" applyFont="1" applyFill="1" applyBorder="1" applyAlignment="1">
      <alignment horizontal="center" vertical="center" wrapText="1"/>
    </xf>
    <xf numFmtId="0" fontId="18" fillId="9" borderId="0" xfId="0" applyFont="1" applyFill="1" applyBorder="1" applyAlignment="1">
      <alignment horizontal="center" vertical="center" wrapText="1"/>
    </xf>
    <xf numFmtId="3" fontId="17" fillId="5" borderId="0" xfId="1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18" fillId="5" borderId="8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/>
    </xf>
    <xf numFmtId="0" fontId="17" fillId="5" borderId="8" xfId="0" applyFont="1" applyFill="1" applyBorder="1" applyAlignment="1">
      <alignment horizontal="center" vertical="center" wrapText="1"/>
    </xf>
    <xf numFmtId="168" fontId="0" fillId="0" borderId="4" xfId="0" applyNumberForma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  <xf numFmtId="0" fontId="26" fillId="0" borderId="0" xfId="0" applyFont="1"/>
    <xf numFmtId="0" fontId="0" fillId="0" borderId="0" xfId="0" applyFont="1" applyAlignment="1">
      <alignment horizontal="left" wrapText="1"/>
    </xf>
    <xf numFmtId="0" fontId="29" fillId="5" borderId="0" xfId="0" applyFont="1" applyFill="1" applyBorder="1" applyAlignment="1">
      <alignment horizontal="left" vertical="center"/>
    </xf>
    <xf numFmtId="0" fontId="17" fillId="5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left"/>
    </xf>
    <xf numFmtId="3" fontId="17" fillId="10" borderId="15" xfId="1" applyNumberFormat="1" applyFont="1" applyFill="1" applyBorder="1" applyAlignment="1">
      <alignment horizontal="center" vertical="center"/>
    </xf>
    <xf numFmtId="3" fontId="17" fillId="5" borderId="30" xfId="1" applyNumberFormat="1" applyFont="1" applyFill="1" applyBorder="1" applyAlignment="1">
      <alignment horizontal="center" vertical="center"/>
    </xf>
    <xf numFmtId="3" fontId="0" fillId="0" borderId="27" xfId="0" applyNumberForma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168" fontId="0" fillId="2" borderId="4" xfId="0" applyNumberForma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31" fillId="0" borderId="0" xfId="0" applyFont="1"/>
    <xf numFmtId="2" fontId="32" fillId="0" borderId="4" xfId="0" applyNumberFormat="1" applyFont="1" applyBorder="1"/>
    <xf numFmtId="3" fontId="31" fillId="0" borderId="0" xfId="0" applyNumberFormat="1" applyFont="1"/>
    <xf numFmtId="0" fontId="31" fillId="0" borderId="0" xfId="0" applyFont="1" applyFill="1"/>
    <xf numFmtId="3" fontId="31" fillId="0" borderId="0" xfId="0" applyNumberFormat="1" applyFont="1" applyFill="1"/>
    <xf numFmtId="0" fontId="31" fillId="0" borderId="0" xfId="0" applyFont="1" applyFill="1" applyBorder="1"/>
    <xf numFmtId="3" fontId="31" fillId="0" borderId="0" xfId="0" applyNumberFormat="1" applyFont="1" applyBorder="1"/>
    <xf numFmtId="0" fontId="31" fillId="0" borderId="0" xfId="0" applyFont="1" applyBorder="1"/>
    <xf numFmtId="0" fontId="37" fillId="0" borderId="0" xfId="0" applyFont="1"/>
    <xf numFmtId="0" fontId="38" fillId="0" borderId="0" xfId="0" applyFont="1"/>
    <xf numFmtId="0" fontId="40" fillId="0" borderId="0" xfId="0" applyFont="1"/>
    <xf numFmtId="0" fontId="32" fillId="0" borderId="0" xfId="0" applyFont="1"/>
    <xf numFmtId="0" fontId="32" fillId="12" borderId="4" xfId="0" applyFont="1" applyFill="1" applyBorder="1" applyAlignment="1">
      <alignment horizontal="center" vertical="center" wrapText="1"/>
    </xf>
    <xf numFmtId="0" fontId="40" fillId="0" borderId="4" xfId="0" applyFont="1" applyBorder="1"/>
    <xf numFmtId="0" fontId="40" fillId="0" borderId="4" xfId="0" applyFont="1" applyBorder="1" applyAlignment="1">
      <alignment horizontal="center" vertical="center" wrapText="1"/>
    </xf>
    <xf numFmtId="3" fontId="40" fillId="0" borderId="4" xfId="0" applyNumberFormat="1" applyFont="1" applyFill="1" applyBorder="1"/>
    <xf numFmtId="3" fontId="36" fillId="0" borderId="4" xfId="0" applyNumberFormat="1" applyFont="1" applyFill="1" applyBorder="1"/>
    <xf numFmtId="0" fontId="40" fillId="0" borderId="4" xfId="0" applyFont="1" applyFill="1" applyBorder="1" applyAlignment="1">
      <alignment horizontal="left" indent="2"/>
    </xf>
    <xf numFmtId="0" fontId="40" fillId="0" borderId="4" xfId="0" applyFont="1" applyFill="1" applyBorder="1"/>
    <xf numFmtId="0" fontId="40" fillId="0" borderId="4" xfId="0" applyFont="1" applyBorder="1" applyAlignment="1">
      <alignment vertical="center"/>
    </xf>
    <xf numFmtId="0" fontId="40" fillId="0" borderId="4" xfId="0" applyFont="1" applyBorder="1" applyAlignment="1">
      <alignment horizontal="center" vertical="center"/>
    </xf>
    <xf numFmtId="0" fontId="36" fillId="0" borderId="4" xfId="0" applyFont="1" applyFill="1" applyBorder="1"/>
    <xf numFmtId="0" fontId="36" fillId="0" borderId="4" xfId="0" applyFont="1" applyFill="1" applyBorder="1" applyAlignment="1">
      <alignment horizontal="left"/>
    </xf>
    <xf numFmtId="3" fontId="36" fillId="9" borderId="4" xfId="0" applyNumberFormat="1" applyFont="1" applyFill="1" applyBorder="1"/>
    <xf numFmtId="0" fontId="44" fillId="0" borderId="4" xfId="0" applyFont="1" applyFill="1" applyBorder="1" applyAlignment="1">
      <alignment horizontal="left" indent="2"/>
    </xf>
    <xf numFmtId="0" fontId="44" fillId="0" borderId="4" xfId="0" applyFont="1" applyFill="1" applyBorder="1"/>
    <xf numFmtId="3" fontId="44" fillId="0" borderId="4" xfId="0" applyNumberFormat="1" applyFont="1" applyFill="1" applyBorder="1"/>
    <xf numFmtId="9" fontId="31" fillId="0" borderId="0" xfId="9" applyFont="1"/>
    <xf numFmtId="0" fontId="36" fillId="9" borderId="4" xfId="0" applyFont="1" applyFill="1" applyBorder="1" applyAlignment="1">
      <alignment horizontal="left" vertical="center" wrapText="1"/>
    </xf>
    <xf numFmtId="0" fontId="36" fillId="0" borderId="4" xfId="0" applyFont="1" applyFill="1" applyBorder="1" applyAlignment="1">
      <alignment wrapText="1"/>
    </xf>
    <xf numFmtId="3" fontId="36" fillId="9" borderId="4" xfId="0" applyNumberFormat="1" applyFont="1" applyFill="1" applyBorder="1" applyAlignment="1">
      <alignment horizontal="right" vertical="center"/>
    </xf>
    <xf numFmtId="0" fontId="36" fillId="9" borderId="4" xfId="0" applyFont="1" applyFill="1" applyBorder="1" applyAlignment="1">
      <alignment horizontal="right" vertical="center"/>
    </xf>
    <xf numFmtId="0" fontId="36" fillId="0" borderId="0" xfId="0" applyFont="1"/>
    <xf numFmtId="0" fontId="36" fillId="9" borderId="4" xfId="0" applyFont="1" applyFill="1" applyBorder="1" applyAlignment="1">
      <alignment horizontal="center"/>
    </xf>
    <xf numFmtId="0" fontId="40" fillId="0" borderId="4" xfId="0" applyFont="1" applyBorder="1" applyAlignment="1">
      <alignment horizontal="left" vertical="center"/>
    </xf>
    <xf numFmtId="0" fontId="40" fillId="0" borderId="4" xfId="0" applyFont="1" applyBorder="1" applyAlignment="1">
      <alignment horizontal="right" vertical="center"/>
    </xf>
    <xf numFmtId="0" fontId="40" fillId="0" borderId="4" xfId="0" applyFont="1" applyBorder="1" applyAlignment="1">
      <alignment horizontal="left" vertical="center" wrapText="1"/>
    </xf>
    <xf numFmtId="166" fontId="46" fillId="0" borderId="4" xfId="1" applyNumberFormat="1" applyFont="1" applyFill="1" applyBorder="1" applyAlignment="1">
      <alignment horizontal="left" vertical="center"/>
    </xf>
    <xf numFmtId="0" fontId="36" fillId="0" borderId="0" xfId="0" applyFont="1" applyFill="1"/>
    <xf numFmtId="0" fontId="40" fillId="0" borderId="0" xfId="0" applyFont="1" applyFill="1"/>
    <xf numFmtId="0" fontId="40" fillId="0" borderId="4" xfId="0" applyFont="1" applyBorder="1" applyAlignment="1">
      <alignment horizontal="left" vertical="top" wrapText="1"/>
    </xf>
    <xf numFmtId="2" fontId="40" fillId="0" borderId="4" xfId="0" applyNumberFormat="1" applyFont="1" applyBorder="1" applyAlignment="1">
      <alignment horizontal="right" vertical="center"/>
    </xf>
    <xf numFmtId="164" fontId="40" fillId="0" borderId="9" xfId="0" applyNumberFormat="1" applyFont="1" applyBorder="1" applyAlignment="1">
      <alignment vertical="center"/>
    </xf>
    <xf numFmtId="0" fontId="47" fillId="0" borderId="0" xfId="0" applyFont="1" applyBorder="1"/>
    <xf numFmtId="0" fontId="40" fillId="0" borderId="0" xfId="0" applyFont="1" applyBorder="1"/>
    <xf numFmtId="166" fontId="40" fillId="0" borderId="0" xfId="0" applyNumberFormat="1" applyFont="1" applyBorder="1"/>
    <xf numFmtId="171" fontId="46" fillId="0" borderId="4" xfId="1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3" fontId="34" fillId="0" borderId="0" xfId="0" applyNumberFormat="1" applyFont="1" applyFill="1" applyBorder="1" applyAlignment="1">
      <alignment horizontal="right" vertical="center" wrapText="1"/>
    </xf>
    <xf numFmtId="3" fontId="33" fillId="0" borderId="0" xfId="0" applyNumberFormat="1" applyFont="1" applyFill="1" applyBorder="1" applyAlignment="1">
      <alignment horizontal="center" vertical="center" wrapText="1"/>
    </xf>
    <xf numFmtId="0" fontId="46" fillId="0" borderId="4" xfId="8" applyFont="1" applyFill="1" applyBorder="1"/>
    <xf numFmtId="3" fontId="49" fillId="0" borderId="4" xfId="0" applyNumberFormat="1" applyFont="1" applyBorder="1" applyAlignment="1">
      <alignment horizontal="right" vertical="center" wrapText="1"/>
    </xf>
    <xf numFmtId="3" fontId="40" fillId="0" borderId="4" xfId="0" applyNumberFormat="1" applyFont="1" applyBorder="1"/>
    <xf numFmtId="0" fontId="40" fillId="0" borderId="4" xfId="0" applyFont="1" applyFill="1" applyBorder="1" applyAlignment="1">
      <alignment horizontal="right"/>
    </xf>
    <xf numFmtId="4" fontId="35" fillId="0" borderId="0" xfId="0" applyNumberFormat="1" applyFont="1" applyFill="1"/>
    <xf numFmtId="0" fontId="40" fillId="0" borderId="0" xfId="0" applyFont="1" applyFill="1" applyBorder="1" applyAlignment="1"/>
    <xf numFmtId="0" fontId="46" fillId="0" borderId="0" xfId="8" applyFont="1" applyFill="1" applyBorder="1"/>
    <xf numFmtId="3" fontId="40" fillId="0" borderId="0" xfId="0" applyNumberFormat="1" applyFont="1" applyFill="1" applyBorder="1"/>
    <xf numFmtId="0" fontId="40" fillId="0" borderId="0" xfId="0" applyFont="1" applyFill="1" applyBorder="1" applyAlignment="1">
      <alignment horizontal="right"/>
    </xf>
    <xf numFmtId="3" fontId="40" fillId="0" borderId="0" xfId="0" applyNumberFormat="1" applyFont="1" applyBorder="1"/>
    <xf numFmtId="166" fontId="46" fillId="0" borderId="0" xfId="1" applyNumberFormat="1" applyFont="1" applyFill="1" applyBorder="1" applyAlignment="1">
      <alignment horizontal="left" vertical="center"/>
    </xf>
    <xf numFmtId="2" fontId="32" fillId="0" borderId="4" xfId="0" applyNumberFormat="1" applyFont="1" applyBorder="1" applyAlignment="1">
      <alignment horizontal="right"/>
    </xf>
    <xf numFmtId="0" fontId="50" fillId="14" borderId="1" xfId="0" applyFont="1" applyFill="1" applyBorder="1" applyAlignment="1">
      <alignment horizontal="center" vertical="center" wrapText="1"/>
    </xf>
    <xf numFmtId="0" fontId="50" fillId="14" borderId="3" xfId="0" applyFont="1" applyFill="1" applyBorder="1" applyAlignment="1">
      <alignment horizontal="center" vertical="center" wrapText="1"/>
    </xf>
    <xf numFmtId="0" fontId="51" fillId="15" borderId="3" xfId="0" applyFont="1" applyFill="1" applyBorder="1" applyAlignment="1">
      <alignment horizontal="center" vertical="center" wrapText="1"/>
    </xf>
    <xf numFmtId="0" fontId="51" fillId="16" borderId="3" xfId="0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7" xfId="0" applyFont="1" applyBorder="1" applyAlignment="1">
      <alignment vertical="center" wrapText="1"/>
    </xf>
    <xf numFmtId="4" fontId="49" fillId="0" borderId="7" xfId="0" applyNumberFormat="1" applyFont="1" applyBorder="1" applyAlignment="1">
      <alignment horizontal="right" vertical="center" wrapText="1"/>
    </xf>
    <xf numFmtId="0" fontId="49" fillId="0" borderId="7" xfId="0" applyFont="1" applyBorder="1" applyAlignment="1">
      <alignment horizontal="right" vertical="center" wrapText="1"/>
    </xf>
    <xf numFmtId="0" fontId="47" fillId="0" borderId="31" xfId="0" applyFont="1" applyBorder="1" applyAlignment="1">
      <alignment vertical="center" wrapText="1"/>
    </xf>
    <xf numFmtId="4" fontId="49" fillId="0" borderId="31" xfId="0" applyNumberFormat="1" applyFont="1" applyBorder="1" applyAlignment="1">
      <alignment horizontal="right" vertical="center" wrapText="1"/>
    </xf>
    <xf numFmtId="0" fontId="47" fillId="13" borderId="4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4" fontId="31" fillId="0" borderId="0" xfId="0" applyNumberFormat="1" applyFont="1" applyFill="1" applyBorder="1"/>
    <xf numFmtId="4" fontId="40" fillId="13" borderId="4" xfId="0" applyNumberFormat="1" applyFont="1" applyFill="1" applyBorder="1"/>
    <xf numFmtId="2" fontId="40" fillId="0" borderId="4" xfId="0" applyNumberFormat="1" applyFont="1" applyBorder="1"/>
    <xf numFmtId="3" fontId="40" fillId="0" borderId="4" xfId="0" applyNumberFormat="1" applyFont="1" applyFill="1" applyBorder="1" applyAlignment="1">
      <alignment wrapText="1"/>
    </xf>
    <xf numFmtId="0" fontId="36" fillId="12" borderId="0" xfId="0" applyFont="1" applyFill="1"/>
    <xf numFmtId="3" fontId="36" fillId="12" borderId="0" xfId="0" applyNumberFormat="1" applyFont="1" applyFill="1"/>
    <xf numFmtId="3" fontId="36" fillId="9" borderId="4" xfId="0" applyNumberFormat="1" applyFont="1" applyFill="1" applyBorder="1" applyAlignment="1">
      <alignment horizontal="left" vertical="center"/>
    </xf>
    <xf numFmtId="0" fontId="36" fillId="12" borderId="4" xfId="0" applyFont="1" applyFill="1" applyBorder="1"/>
    <xf numFmtId="3" fontId="36" fillId="12" borderId="4" xfId="0" applyNumberFormat="1" applyFont="1" applyFill="1" applyBorder="1"/>
    <xf numFmtId="0" fontId="40" fillId="0" borderId="4" xfId="0" applyFont="1" applyBorder="1" applyAlignment="1">
      <alignment horizontal="left"/>
    </xf>
    <xf numFmtId="0" fontId="49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vertical="center" wrapText="1"/>
    </xf>
    <xf numFmtId="0" fontId="48" fillId="0" borderId="4" xfId="0" applyFont="1" applyBorder="1" applyAlignment="1">
      <alignment vertical="center" wrapText="1"/>
    </xf>
    <xf numFmtId="3" fontId="48" fillId="11" borderId="4" xfId="0" applyNumberFormat="1" applyFont="1" applyFill="1" applyBorder="1" applyAlignment="1">
      <alignment horizontal="right" vertical="center" wrapText="1"/>
    </xf>
    <xf numFmtId="4" fontId="40" fillId="0" borderId="0" xfId="0" applyNumberFormat="1" applyFont="1"/>
    <xf numFmtId="0" fontId="40" fillId="0" borderId="4" xfId="0" applyFont="1" applyBorder="1" applyAlignment="1">
      <alignment wrapText="1"/>
    </xf>
    <xf numFmtId="4" fontId="40" fillId="0" borderId="4" xfId="0" applyNumberFormat="1" applyFont="1" applyBorder="1"/>
    <xf numFmtId="0" fontId="49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vertical="center" wrapText="1"/>
    </xf>
    <xf numFmtId="3" fontId="48" fillId="0" borderId="0" xfId="0" applyNumberFormat="1" applyFont="1" applyFill="1" applyBorder="1" applyAlignment="1">
      <alignment horizontal="right" vertical="center" wrapText="1"/>
    </xf>
    <xf numFmtId="3" fontId="48" fillId="0" borderId="4" xfId="0" applyNumberFormat="1" applyFont="1" applyFill="1" applyBorder="1" applyAlignment="1">
      <alignment horizontal="right" vertical="center" wrapText="1"/>
    </xf>
    <xf numFmtId="0" fontId="49" fillId="0" borderId="4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3" fontId="0" fillId="0" borderId="4" xfId="0" applyNumberFormat="1" applyBorder="1"/>
    <xf numFmtId="9" fontId="0" fillId="0" borderId="4" xfId="0" applyNumberFormat="1" applyBorder="1"/>
    <xf numFmtId="10" fontId="0" fillId="0" borderId="4" xfId="0" applyNumberFormat="1" applyBorder="1"/>
    <xf numFmtId="3" fontId="0" fillId="0" borderId="0" xfId="0" applyNumberFormat="1"/>
    <xf numFmtId="0" fontId="33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4" fontId="0" fillId="0" borderId="0" xfId="0" applyNumberFormat="1"/>
    <xf numFmtId="9" fontId="0" fillId="0" borderId="0" xfId="9" applyFont="1"/>
    <xf numFmtId="9" fontId="0" fillId="0" borderId="0" xfId="0" applyNumberFormat="1"/>
    <xf numFmtId="10" fontId="0" fillId="0" borderId="0" xfId="9" applyNumberFormat="1" applyFont="1"/>
    <xf numFmtId="172" fontId="0" fillId="0" borderId="0" xfId="9" applyNumberFormat="1" applyFont="1"/>
    <xf numFmtId="0" fontId="32" fillId="12" borderId="8" xfId="0" applyFont="1" applyFill="1" applyBorder="1" applyAlignment="1">
      <alignment horizontal="center" vertical="center" wrapText="1"/>
    </xf>
    <xf numFmtId="0" fontId="32" fillId="12" borderId="10" xfId="0" applyFont="1" applyFill="1" applyBorder="1" applyAlignment="1">
      <alignment horizontal="center" vertical="center" wrapText="1"/>
    </xf>
    <xf numFmtId="0" fontId="42" fillId="9" borderId="4" xfId="0" applyFont="1" applyFill="1" applyBorder="1" applyAlignment="1">
      <alignment horizontal="center" vertical="center" wrapText="1"/>
    </xf>
    <xf numFmtId="0" fontId="40" fillId="13" borderId="8" xfId="0" applyFont="1" applyFill="1" applyBorder="1" applyAlignment="1">
      <alignment horizontal="left" vertical="center"/>
    </xf>
    <xf numFmtId="0" fontId="40" fillId="13" borderId="9" xfId="0" applyFont="1" applyFill="1" applyBorder="1" applyAlignment="1">
      <alignment horizontal="left" vertical="center"/>
    </xf>
    <xf numFmtId="0" fontId="40" fillId="13" borderId="10" xfId="0" applyFont="1" applyFill="1" applyBorder="1" applyAlignment="1">
      <alignment horizontal="left" vertical="center"/>
    </xf>
    <xf numFmtId="0" fontId="40" fillId="12" borderId="8" xfId="0" applyFont="1" applyFill="1" applyBorder="1" applyAlignment="1">
      <alignment horizontal="left"/>
    </xf>
    <xf numFmtId="0" fontId="40" fillId="12" borderId="9" xfId="0" applyFont="1" applyFill="1" applyBorder="1" applyAlignment="1">
      <alignment horizontal="left"/>
    </xf>
    <xf numFmtId="0" fontId="40" fillId="12" borderId="10" xfId="0" applyFont="1" applyFill="1" applyBorder="1" applyAlignment="1">
      <alignment horizontal="left"/>
    </xf>
    <xf numFmtId="0" fontId="40" fillId="0" borderId="8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40" fillId="0" borderId="10" xfId="0" applyFont="1" applyBorder="1" applyAlignment="1">
      <alignment horizontal="left" vertical="center"/>
    </xf>
    <xf numFmtId="0" fontId="40" fillId="12" borderId="4" xfId="0" applyFont="1" applyFill="1" applyBorder="1" applyAlignment="1">
      <alignment horizontal="left"/>
    </xf>
    <xf numFmtId="0" fontId="49" fillId="0" borderId="4" xfId="0" applyFont="1" applyBorder="1" applyAlignment="1">
      <alignment horizontal="center" vertical="center" wrapText="1"/>
    </xf>
    <xf numFmtId="0" fontId="40" fillId="12" borderId="8" xfId="0" applyFont="1" applyFill="1" applyBorder="1" applyAlignment="1">
      <alignment horizontal="center" wrapText="1"/>
    </xf>
    <xf numFmtId="0" fontId="40" fillId="12" borderId="9" xfId="0" applyFont="1" applyFill="1" applyBorder="1" applyAlignment="1">
      <alignment horizontal="center" wrapText="1"/>
    </xf>
    <xf numFmtId="0" fontId="40" fillId="12" borderId="10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wrapText="1"/>
    </xf>
    <xf numFmtId="0" fontId="5" fillId="3" borderId="0" xfId="0" applyFont="1" applyFill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0" fillId="0" borderId="0" xfId="9" applyFont="1" applyBorder="1" applyAlignment="1">
      <alignment horizontal="left"/>
    </xf>
    <xf numFmtId="3" fontId="0" fillId="0" borderId="11" xfId="0" applyNumberFormat="1" applyBorder="1"/>
    <xf numFmtId="9" fontId="33" fillId="0" borderId="0" xfId="0" applyNumberFormat="1" applyFont="1" applyBorder="1" applyAlignment="1">
      <alignment horizontal="left" vertical="center" wrapText="1"/>
    </xf>
    <xf numFmtId="0" fontId="33" fillId="0" borderId="4" xfId="0" applyFont="1" applyBorder="1" applyAlignment="1">
      <alignment horizontal="center" vertical="center" wrapText="1"/>
    </xf>
    <xf numFmtId="3" fontId="33" fillId="0" borderId="32" xfId="0" applyNumberFormat="1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10" fontId="33" fillId="0" borderId="4" xfId="9" applyNumberFormat="1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33" xfId="0" applyNumberFormat="1" applyFont="1" applyBorder="1" applyAlignment="1">
      <alignment horizontal="center" vertical="center" wrapText="1"/>
    </xf>
  </cellXfs>
  <cellStyles count="10">
    <cellStyle name="ANCLAS,REZONES Y SUS PARTES,DE FUNDICION,DE HIERRO O DE ACERO" xfId="4" xr:uid="{CE8C505F-0ACC-4662-BFFD-610AEC1ECAD4}"/>
    <cellStyle name="Millares" xfId="1" builtinId="3"/>
    <cellStyle name="Millares 10" xfId="7" xr:uid="{B7124A23-8838-4192-B192-A4561599662C}"/>
    <cellStyle name="Millares 2" xfId="5" xr:uid="{EF2D32F0-AC28-4C8A-97A4-33DA04FED900}"/>
    <cellStyle name="Normal" xfId="0" builtinId="0"/>
    <cellStyle name="Normal 2" xfId="2" xr:uid="{00000000-0005-0000-0000-000002000000}"/>
    <cellStyle name="Normal 2 2" xfId="8" xr:uid="{CC33CD44-114D-4BE7-9A4B-3754CCF978D6}"/>
    <cellStyle name="Normal 3" xfId="3" xr:uid="{4C794DED-9392-48A7-811A-381EA76F8B13}"/>
    <cellStyle name="Porcentaje" xfId="9" builtinId="5"/>
    <cellStyle name="Porcentaje 2" xfId="6" xr:uid="{D38BFA42-430A-4876-A1DE-7E8F93665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GEI Sector Salud</a:t>
            </a:r>
            <a:r>
              <a:rPr lang="en-US" baseline="0"/>
              <a:t> (GgCO</a:t>
            </a:r>
            <a:r>
              <a:rPr lang="en-US" baseline="-25000"/>
              <a:t>2</a:t>
            </a:r>
            <a:r>
              <a:rPr lang="en-US" baseline="0"/>
              <a:t>e)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'[1]Estimaciones iniciales'!$E$7</c:f>
              <c:strCache>
                <c:ptCount val="1"/>
                <c:pt idx="0">
                  <c:v>GgCO2e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FC-4EE6-B510-2E16D70DD956}"/>
              </c:ext>
            </c:extLst>
          </c:dPt>
          <c:cat>
            <c:strRef>
              <c:f>'[1]Estimaciones iniciales'!$F$6:$I$6</c:f>
              <c:strCache>
                <c:ptCount val="4"/>
                <c:pt idx="0">
                  <c:v>BUR4 (2018)</c:v>
                </c:pt>
                <c:pt idx="1">
                  <c:v>Banco Mundial (2017)*</c:v>
                </c:pt>
                <c:pt idx="2">
                  <c:v>Salud Sin Daño (2019)</c:v>
                </c:pt>
                <c:pt idx="3">
                  <c:v>The Lancet Planetary Health (2020)</c:v>
                </c:pt>
              </c:strCache>
            </c:strRef>
          </c:cat>
          <c:val>
            <c:numRef>
              <c:f>'[1]Estimaciones iniciales'!$F$7:$I$7</c:f>
              <c:numCache>
                <c:formatCode>General</c:formatCode>
                <c:ptCount val="4"/>
                <c:pt idx="0">
                  <c:v>365889.79</c:v>
                </c:pt>
                <c:pt idx="1">
                  <c:v>14635.5916</c:v>
                </c:pt>
                <c:pt idx="2">
                  <c:v>8898.9004000000004</c:v>
                </c:pt>
                <c:pt idx="3">
                  <c:v>14196.523852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FC-4EE6-B510-2E16D70DD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5921056"/>
        <c:axId val="35591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'[1]Estimaciones iniciales'!$E$8</c15:sqref>
                        </c15:formulaRef>
                      </c:ext>
                    </c:extLst>
                    <c:strCache>
                      <c:ptCount val="1"/>
                      <c:pt idx="0">
                        <c:v>GEI Sector Salud (% del total INGEI)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'[1]Estimaciones iniciales'!$F$6:$I$6</c15:sqref>
                        </c15:formulaRef>
                      </c:ext>
                    </c:extLst>
                    <c:strCache>
                      <c:ptCount val="4"/>
                      <c:pt idx="0">
                        <c:v>BUR4 (2018)</c:v>
                      </c:pt>
                      <c:pt idx="1">
                        <c:v>Banco Mundial (2017)*</c:v>
                      </c:pt>
                      <c:pt idx="2">
                        <c:v>Salud Sin Daño (2019)</c:v>
                      </c:pt>
                      <c:pt idx="3">
                        <c:v>The Lancet Planetary Health (2020)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'[1]Estimaciones iniciales'!$F$8:$I$8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0.03</c:v>
                      </c:pt>
                      <c:pt idx="2">
                        <c:v>2.4321259141994647E-2</c:v>
                      </c:pt>
                      <c:pt idx="3">
                        <c:v>3.8800000000000001E-2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9FC-4EE6-B510-2E16D70DD956}"/>
                  </c:ext>
                </c:extLst>
              </c15:ser>
            </c15:filteredBarSeries>
          </c:ext>
        </c:extLst>
      </c:barChart>
      <c:catAx>
        <c:axId val="355921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5919392"/>
        <c:crosses val="autoZero"/>
        <c:auto val="1"/>
        <c:lblAlgn val="ctr"/>
        <c:lblOffset val="100"/>
        <c:noMultiLvlLbl val="0"/>
      </c:catAx>
      <c:valAx>
        <c:axId val="3559193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5921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GEI Sector Salud (% del total INGEI)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'[1]Estimaciones iniciales'!$E$8</c:f>
              <c:strCache>
                <c:ptCount val="1"/>
                <c:pt idx="0">
                  <c:v>GEI Sector Salud (% del total INGEI)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'[1]Estimaciones iniciales'!$F$6:$I$6</c:f>
              <c:strCache>
                <c:ptCount val="4"/>
                <c:pt idx="0">
                  <c:v>BUR4 (2018)</c:v>
                </c:pt>
                <c:pt idx="1">
                  <c:v>Banco Mundial (2017)*</c:v>
                </c:pt>
                <c:pt idx="2">
                  <c:v>Salud Sin Daño (2019)</c:v>
                </c:pt>
                <c:pt idx="3">
                  <c:v>The Lancet Planetary Health (2020)</c:v>
                </c:pt>
              </c:strCache>
              <c:extLst xmlns:c15="http://schemas.microsoft.com/office/drawing/2012/chart"/>
            </c:strRef>
          </c:cat>
          <c:val>
            <c:numRef>
              <c:f>'[1]Estimaciones iniciales'!$F$8:$I$8</c:f>
              <c:numCache>
                <c:formatCode>General</c:formatCode>
                <c:ptCount val="4"/>
                <c:pt idx="0">
                  <c:v>1</c:v>
                </c:pt>
                <c:pt idx="1">
                  <c:v>0.03</c:v>
                </c:pt>
                <c:pt idx="2">
                  <c:v>2.4321259141994647E-2</c:v>
                </c:pt>
                <c:pt idx="3">
                  <c:v>3.8800000000000001E-2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6BED-4E25-B207-D1C2F65C5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5921056"/>
        <c:axId val="3559193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'[1]Estimaciones iniciales'!$E$7</c15:sqref>
                        </c15:formulaRef>
                      </c:ext>
                    </c:extLst>
                    <c:strCache>
                      <c:ptCount val="1"/>
                      <c:pt idx="0">
                        <c:v>GgCO2e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'[1]Estimaciones iniciales'!$F$6:$I$6</c15:sqref>
                        </c15:formulaRef>
                      </c:ext>
                    </c:extLst>
                    <c:strCache>
                      <c:ptCount val="4"/>
                      <c:pt idx="0">
                        <c:v>BUR4 (2018)</c:v>
                      </c:pt>
                      <c:pt idx="1">
                        <c:v>Banco Mundial (2017)*</c:v>
                      </c:pt>
                      <c:pt idx="2">
                        <c:v>Salud Sin Daño (2019)</c:v>
                      </c:pt>
                      <c:pt idx="3">
                        <c:v>The Lancet Planetary Health (2020)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'[1]Estimaciones iniciales'!$F$7:$I$7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365889.79</c:v>
                      </c:pt>
                      <c:pt idx="1">
                        <c:v>14635.5916</c:v>
                      </c:pt>
                      <c:pt idx="2">
                        <c:v>8898.9004000000004</c:v>
                      </c:pt>
                      <c:pt idx="3">
                        <c:v>14196.523852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ED-4E25-B207-D1C2F65C5BC6}"/>
                  </c:ext>
                </c:extLst>
              </c15:ser>
            </c15:filteredBarSeries>
          </c:ext>
        </c:extLst>
      </c:barChart>
      <c:catAx>
        <c:axId val="355921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5919392"/>
        <c:crosses val="autoZero"/>
        <c:auto val="1"/>
        <c:lblAlgn val="ctr"/>
        <c:lblOffset val="100"/>
        <c:noMultiLvlLbl val="0"/>
      </c:catAx>
      <c:valAx>
        <c:axId val="3559193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59210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4</xdr:row>
      <xdr:rowOff>142875</xdr:rowOff>
    </xdr:from>
    <xdr:to>
      <xdr:col>16</xdr:col>
      <xdr:colOff>457200</xdr:colOff>
      <xdr:row>18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BDD90D-0236-4570-87CA-21FCE00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9525</xdr:colOff>
      <xdr:row>4</xdr:row>
      <xdr:rowOff>142875</xdr:rowOff>
    </xdr:from>
    <xdr:to>
      <xdr:col>23</xdr:col>
      <xdr:colOff>9525</xdr:colOff>
      <xdr:row>18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27058C-BC4C-4020-85DB-AA6DAC81B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13</xdr:row>
      <xdr:rowOff>9526</xdr:rowOff>
    </xdr:from>
    <xdr:to>
      <xdr:col>3</xdr:col>
      <xdr:colOff>354529</xdr:colOff>
      <xdr:row>14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628901"/>
          <a:ext cx="2211904" cy="180974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504826</xdr:colOff>
      <xdr:row>57</xdr:row>
      <xdr:rowOff>19050</xdr:rowOff>
    </xdr:from>
    <xdr:to>
      <xdr:col>7</xdr:col>
      <xdr:colOff>571501</xdr:colOff>
      <xdr:row>60</xdr:row>
      <xdr:rowOff>148715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6" y="11772900"/>
          <a:ext cx="4914900" cy="701165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371476</xdr:colOff>
      <xdr:row>61</xdr:row>
      <xdr:rowOff>57151</xdr:rowOff>
    </xdr:from>
    <xdr:to>
      <xdr:col>7</xdr:col>
      <xdr:colOff>400051</xdr:colOff>
      <xdr:row>62</xdr:row>
      <xdr:rowOff>144309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6" y="12573001"/>
          <a:ext cx="4876800" cy="277658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63</xdr:row>
      <xdr:rowOff>19050</xdr:rowOff>
    </xdr:from>
    <xdr:to>
      <xdr:col>7</xdr:col>
      <xdr:colOff>581025</xdr:colOff>
      <xdr:row>66</xdr:row>
      <xdr:rowOff>62949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" y="12915900"/>
          <a:ext cx="4943475" cy="615399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42</xdr:row>
      <xdr:rowOff>47625</xdr:rowOff>
    </xdr:from>
    <xdr:to>
      <xdr:col>5</xdr:col>
      <xdr:colOff>447234</xdr:colOff>
      <xdr:row>45</xdr:row>
      <xdr:rowOff>184061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9100" y="8601075"/>
          <a:ext cx="3523809" cy="7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70</xdr:row>
      <xdr:rowOff>152400</xdr:rowOff>
    </xdr:from>
    <xdr:to>
      <xdr:col>7</xdr:col>
      <xdr:colOff>733426</xdr:colOff>
      <xdr:row>82</xdr:row>
      <xdr:rowOff>113908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1" y="14382750"/>
          <a:ext cx="5048250" cy="2247508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66</xdr:row>
      <xdr:rowOff>142875</xdr:rowOff>
    </xdr:from>
    <xdr:to>
      <xdr:col>6</xdr:col>
      <xdr:colOff>666309</xdr:colOff>
      <xdr:row>70</xdr:row>
      <xdr:rowOff>95161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90650" y="13611225"/>
          <a:ext cx="3523809" cy="7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ciones%20iniciales_BUR4.13.01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es iniciales"/>
      <sheetName val="Datos para el mapa"/>
      <sheetName val="Sankey"/>
    </sheetNames>
    <sheetDataSet>
      <sheetData sheetId="0">
        <row r="6">
          <cell r="F6" t="str">
            <v>BUR4 (2018)</v>
          </cell>
          <cell r="G6" t="str">
            <v>Banco Mundial (2017)*</v>
          </cell>
          <cell r="H6" t="str">
            <v>Salud Sin Daño (2019)</v>
          </cell>
          <cell r="I6" t="str">
            <v>The Lancet Planetary Health (2020)</v>
          </cell>
        </row>
        <row r="7">
          <cell r="E7" t="str">
            <v>GgCO2e</v>
          </cell>
          <cell r="F7">
            <v>365889.79</v>
          </cell>
          <cell r="G7">
            <v>14635.5916</v>
          </cell>
          <cell r="H7">
            <v>8898.9004000000004</v>
          </cell>
          <cell r="I7">
            <v>14196.523852</v>
          </cell>
        </row>
        <row r="8">
          <cell r="E8" t="str">
            <v>GEI Sector Salud (% del total INGEI)</v>
          </cell>
          <cell r="F8">
            <v>1</v>
          </cell>
          <cell r="G8">
            <v>0.03</v>
          </cell>
          <cell r="H8">
            <v>2.4321259141994647E-2</v>
          </cell>
          <cell r="I8">
            <v>3.8800000000000001E-2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F465-A2EA-4C38-9246-892C1A903C2E}">
  <dimension ref="A1:F64"/>
  <sheetViews>
    <sheetView showGridLines="0" topLeftCell="A56" workbookViewId="0">
      <selection activeCell="B62" sqref="B62"/>
    </sheetView>
  </sheetViews>
  <sheetFormatPr baseColWidth="10" defaultRowHeight="14.25" x14ac:dyDescent="0.2"/>
  <cols>
    <col min="1" max="1" width="50.42578125" style="84" customWidth="1"/>
    <col min="2" max="2" width="10.85546875" style="84" bestFit="1" customWidth="1"/>
    <col min="3" max="3" width="34" style="84" customWidth="1"/>
    <col min="4" max="4" width="21.7109375" style="84" customWidth="1"/>
    <col min="5" max="5" width="19.7109375" style="84" customWidth="1"/>
    <col min="6" max="6" width="21.5703125" style="84" customWidth="1"/>
    <col min="7" max="16384" width="11.42578125" style="84"/>
  </cols>
  <sheetData>
    <row r="1" spans="1:6" ht="30" x14ac:dyDescent="0.4">
      <c r="A1" s="93" t="s">
        <v>116</v>
      </c>
    </row>
    <row r="2" spans="1:6" ht="23.25" x14ac:dyDescent="0.4">
      <c r="A2" s="92" t="s">
        <v>117</v>
      </c>
      <c r="E2" s="198" t="s">
        <v>106</v>
      </c>
      <c r="F2" s="198"/>
    </row>
    <row r="3" spans="1:6" ht="20.25" x14ac:dyDescent="0.3">
      <c r="A3" s="92" t="s">
        <v>259</v>
      </c>
      <c r="E3" s="196" t="s">
        <v>119</v>
      </c>
      <c r="F3" s="197"/>
    </row>
    <row r="4" spans="1:6" x14ac:dyDescent="0.2">
      <c r="A4" s="94" t="s">
        <v>260</v>
      </c>
      <c r="E4" s="85">
        <f>+'4 a) Simple OM 2007-2019'!L33</f>
        <v>0.33963540575598594</v>
      </c>
      <c r="F4" s="146" t="s">
        <v>254</v>
      </c>
    </row>
    <row r="5" spans="1:6" ht="15" thickBot="1" x14ac:dyDescent="0.25"/>
    <row r="6" spans="1:6" ht="24.75" thickBot="1" x14ac:dyDescent="0.25">
      <c r="A6" s="147" t="s">
        <v>143</v>
      </c>
      <c r="B6" s="148" t="s">
        <v>144</v>
      </c>
      <c r="C6" s="148" t="s">
        <v>145</v>
      </c>
      <c r="D6" s="148" t="s">
        <v>146</v>
      </c>
      <c r="E6" s="149" t="s">
        <v>147</v>
      </c>
      <c r="F6" s="150" t="s">
        <v>148</v>
      </c>
    </row>
    <row r="7" spans="1:6" ht="24.75" thickBot="1" x14ac:dyDescent="0.25">
      <c r="A7" s="151">
        <v>5151</v>
      </c>
      <c r="B7" s="152" t="s">
        <v>149</v>
      </c>
      <c r="C7" s="152" t="s">
        <v>150</v>
      </c>
      <c r="D7" s="152" t="s">
        <v>151</v>
      </c>
      <c r="E7" s="153">
        <v>3108.1</v>
      </c>
      <c r="F7" s="154">
        <v>0.35399999999999998</v>
      </c>
    </row>
    <row r="8" spans="1:6" ht="24.75" thickBot="1" x14ac:dyDescent="0.25">
      <c r="A8" s="151">
        <v>5528</v>
      </c>
      <c r="B8" s="152" t="s">
        <v>152</v>
      </c>
      <c r="C8" s="152" t="s">
        <v>153</v>
      </c>
      <c r="D8" s="152" t="s">
        <v>151</v>
      </c>
      <c r="E8" s="153">
        <v>5458.1</v>
      </c>
      <c r="F8" s="154">
        <v>0.621</v>
      </c>
    </row>
    <row r="9" spans="1:6" ht="24.75" thickBot="1" x14ac:dyDescent="0.25">
      <c r="A9" s="151">
        <v>6157</v>
      </c>
      <c r="B9" s="152" t="s">
        <v>154</v>
      </c>
      <c r="C9" s="152" t="s">
        <v>155</v>
      </c>
      <c r="D9" s="152" t="s">
        <v>151</v>
      </c>
      <c r="E9" s="153">
        <v>5128</v>
      </c>
      <c r="F9" s="154">
        <v>0.58399999999999996</v>
      </c>
    </row>
    <row r="10" spans="1:6" ht="24.75" thickBot="1" x14ac:dyDescent="0.25">
      <c r="A10" s="151">
        <v>6165</v>
      </c>
      <c r="B10" s="152" t="s">
        <v>156</v>
      </c>
      <c r="C10" s="152" t="s">
        <v>157</v>
      </c>
      <c r="D10" s="152" t="s">
        <v>151</v>
      </c>
      <c r="E10" s="153">
        <v>11402.7</v>
      </c>
      <c r="F10" s="154">
        <v>1.298</v>
      </c>
    </row>
    <row r="11" spans="1:6" ht="24.75" thickBot="1" x14ac:dyDescent="0.25">
      <c r="A11" s="151">
        <v>8465</v>
      </c>
      <c r="B11" s="152" t="s">
        <v>158</v>
      </c>
      <c r="C11" s="152" t="s">
        <v>159</v>
      </c>
      <c r="D11" s="152" t="s">
        <v>151</v>
      </c>
      <c r="E11" s="153">
        <v>6350.4</v>
      </c>
      <c r="F11" s="154">
        <v>0.72299999999999998</v>
      </c>
    </row>
    <row r="12" spans="1:6" ht="24.75" thickBot="1" x14ac:dyDescent="0.25">
      <c r="A12" s="151">
        <v>10080</v>
      </c>
      <c r="B12" s="152" t="s">
        <v>160</v>
      </c>
      <c r="C12" s="152" t="s">
        <v>161</v>
      </c>
      <c r="D12" s="152" t="s">
        <v>162</v>
      </c>
      <c r="E12" s="153">
        <v>4395.3999999999996</v>
      </c>
      <c r="F12" s="154">
        <v>0.5</v>
      </c>
    </row>
    <row r="13" spans="1:6" ht="24.75" thickBot="1" x14ac:dyDescent="0.25">
      <c r="A13" s="151">
        <v>10318</v>
      </c>
      <c r="B13" s="152" t="s">
        <v>163</v>
      </c>
      <c r="C13" s="152" t="s">
        <v>164</v>
      </c>
      <c r="D13" s="152" t="s">
        <v>162</v>
      </c>
      <c r="E13" s="153">
        <v>7776.2</v>
      </c>
      <c r="F13" s="154">
        <v>0.88500000000000001</v>
      </c>
    </row>
    <row r="14" spans="1:6" ht="24.75" thickBot="1" x14ac:dyDescent="0.25">
      <c r="A14" s="151">
        <v>10319</v>
      </c>
      <c r="B14" s="152" t="s">
        <v>165</v>
      </c>
      <c r="C14" s="152" t="s">
        <v>166</v>
      </c>
      <c r="D14" s="152" t="s">
        <v>162</v>
      </c>
      <c r="E14" s="153">
        <v>8051.5</v>
      </c>
      <c r="F14" s="154">
        <v>0.91700000000000004</v>
      </c>
    </row>
    <row r="15" spans="1:6" ht="24.75" thickBot="1" x14ac:dyDescent="0.25">
      <c r="A15" s="151">
        <v>10401</v>
      </c>
      <c r="B15" s="152" t="s">
        <v>167</v>
      </c>
      <c r="C15" s="152" t="s">
        <v>168</v>
      </c>
      <c r="D15" s="152" t="s">
        <v>162</v>
      </c>
      <c r="E15" s="153">
        <v>4830.2</v>
      </c>
      <c r="F15" s="154">
        <v>0.55000000000000004</v>
      </c>
    </row>
    <row r="16" spans="1:6" ht="24.75" thickBot="1" x14ac:dyDescent="0.25">
      <c r="A16" s="151">
        <v>10430</v>
      </c>
      <c r="B16" s="152" t="s">
        <v>169</v>
      </c>
      <c r="C16" s="152" t="s">
        <v>170</v>
      </c>
      <c r="D16" s="152" t="s">
        <v>162</v>
      </c>
      <c r="E16" s="153">
        <v>2748</v>
      </c>
      <c r="F16" s="154">
        <v>0.313</v>
      </c>
    </row>
    <row r="17" spans="1:6" ht="24.75" thickBot="1" x14ac:dyDescent="0.25">
      <c r="A17" s="151">
        <v>10614</v>
      </c>
      <c r="B17" s="152" t="s">
        <v>171</v>
      </c>
      <c r="C17" s="152" t="s">
        <v>172</v>
      </c>
      <c r="D17" s="152" t="s">
        <v>162</v>
      </c>
      <c r="E17" s="153">
        <v>2803.7</v>
      </c>
      <c r="F17" s="154">
        <v>0.31900000000000001</v>
      </c>
    </row>
    <row r="18" spans="1:6" ht="24.75" thickBot="1" x14ac:dyDescent="0.25">
      <c r="A18" s="151">
        <v>11102</v>
      </c>
      <c r="B18" s="152" t="s">
        <v>173</v>
      </c>
      <c r="C18" s="152" t="s">
        <v>174</v>
      </c>
      <c r="D18" s="152" t="s">
        <v>175</v>
      </c>
      <c r="E18" s="153">
        <v>3301</v>
      </c>
      <c r="F18" s="154">
        <v>0.376</v>
      </c>
    </row>
    <row r="19" spans="1:6" ht="24.75" thickBot="1" x14ac:dyDescent="0.25">
      <c r="A19" s="151">
        <v>11145</v>
      </c>
      <c r="B19" s="152" t="s">
        <v>176</v>
      </c>
      <c r="C19" s="152" t="s">
        <v>177</v>
      </c>
      <c r="D19" s="152" t="s">
        <v>162</v>
      </c>
      <c r="E19" s="153">
        <v>2823.6</v>
      </c>
      <c r="F19" s="154">
        <v>0.32100000000000001</v>
      </c>
    </row>
    <row r="20" spans="1:6" ht="24.75" thickBot="1" x14ac:dyDescent="0.25">
      <c r="A20" s="151">
        <v>11193</v>
      </c>
      <c r="B20" s="152" t="s">
        <v>178</v>
      </c>
      <c r="C20" s="152" t="s">
        <v>179</v>
      </c>
      <c r="D20" s="152" t="s">
        <v>162</v>
      </c>
      <c r="E20" s="153">
        <v>3589</v>
      </c>
      <c r="F20" s="154">
        <v>0.40899999999999997</v>
      </c>
    </row>
    <row r="21" spans="1:6" ht="24.75" thickBot="1" x14ac:dyDescent="0.25">
      <c r="A21" s="151">
        <v>11388</v>
      </c>
      <c r="B21" s="152" t="s">
        <v>180</v>
      </c>
      <c r="C21" s="152" t="s">
        <v>181</v>
      </c>
      <c r="D21" s="152" t="s">
        <v>162</v>
      </c>
      <c r="E21" s="153">
        <v>3170.5</v>
      </c>
      <c r="F21" s="154">
        <v>0.36099999999999999</v>
      </c>
    </row>
    <row r="22" spans="1:6" ht="24.75" thickBot="1" x14ac:dyDescent="0.25">
      <c r="A22" s="151">
        <v>11604</v>
      </c>
      <c r="B22" s="152" t="s">
        <v>182</v>
      </c>
      <c r="C22" s="152" t="s">
        <v>183</v>
      </c>
      <c r="D22" s="152" t="s">
        <v>162</v>
      </c>
      <c r="E22" s="153">
        <v>3741.6</v>
      </c>
      <c r="F22" s="154">
        <v>0.42599999999999999</v>
      </c>
    </row>
    <row r="23" spans="1:6" ht="24.75" thickBot="1" x14ac:dyDescent="0.25">
      <c r="A23" s="151">
        <v>11696</v>
      </c>
      <c r="B23" s="152" t="s">
        <v>184</v>
      </c>
      <c r="C23" s="152" t="s">
        <v>185</v>
      </c>
      <c r="D23" s="152" t="s">
        <v>162</v>
      </c>
      <c r="E23" s="153">
        <v>2962.6</v>
      </c>
      <c r="F23" s="154">
        <v>0.33700000000000002</v>
      </c>
    </row>
    <row r="24" spans="1:6" ht="24.75" thickBot="1" x14ac:dyDescent="0.25">
      <c r="A24" s="151">
        <v>11995</v>
      </c>
      <c r="B24" s="152" t="s">
        <v>186</v>
      </c>
      <c r="C24" s="152" t="s">
        <v>187</v>
      </c>
      <c r="D24" s="152" t="s">
        <v>162</v>
      </c>
      <c r="E24" s="153">
        <v>5454.3</v>
      </c>
      <c r="F24" s="154">
        <v>0.621</v>
      </c>
    </row>
    <row r="25" spans="1:6" ht="24.75" thickBot="1" x14ac:dyDescent="0.25">
      <c r="A25" s="151">
        <v>11996</v>
      </c>
      <c r="B25" s="152" t="s">
        <v>188</v>
      </c>
      <c r="C25" s="152" t="s">
        <v>189</v>
      </c>
      <c r="D25" s="152" t="s">
        <v>162</v>
      </c>
      <c r="E25" s="153">
        <v>4913.3999999999996</v>
      </c>
      <c r="F25" s="154">
        <v>0.55900000000000005</v>
      </c>
    </row>
    <row r="26" spans="1:6" ht="24.75" thickBot="1" x14ac:dyDescent="0.25">
      <c r="A26" s="151">
        <v>12326</v>
      </c>
      <c r="B26" s="152" t="s">
        <v>190</v>
      </c>
      <c r="C26" s="152" t="s">
        <v>191</v>
      </c>
      <c r="D26" s="152" t="s">
        <v>162</v>
      </c>
      <c r="E26" s="153">
        <v>4131.3999999999996</v>
      </c>
      <c r="F26" s="154">
        <v>0.47</v>
      </c>
    </row>
    <row r="27" spans="1:6" ht="24.75" thickBot="1" x14ac:dyDescent="0.25">
      <c r="A27" s="151">
        <v>12475</v>
      </c>
      <c r="B27" s="152" t="s">
        <v>192</v>
      </c>
      <c r="C27" s="152" t="s">
        <v>193</v>
      </c>
      <c r="D27" s="152" t="s">
        <v>162</v>
      </c>
      <c r="E27" s="153">
        <v>4861</v>
      </c>
      <c r="F27" s="154">
        <v>0.55300000000000005</v>
      </c>
    </row>
    <row r="28" spans="1:6" ht="24.75" thickBot="1" x14ac:dyDescent="0.25">
      <c r="A28" s="151">
        <v>12551</v>
      </c>
      <c r="B28" s="152" t="s">
        <v>194</v>
      </c>
      <c r="C28" s="152" t="s">
        <v>195</v>
      </c>
      <c r="D28" s="152" t="s">
        <v>162</v>
      </c>
      <c r="E28" s="153">
        <v>3864.5</v>
      </c>
      <c r="F28" s="154">
        <v>0.44</v>
      </c>
    </row>
    <row r="29" spans="1:6" ht="24.75" thickBot="1" x14ac:dyDescent="0.25">
      <c r="A29" s="151">
        <v>12573</v>
      </c>
      <c r="B29" s="152" t="s">
        <v>196</v>
      </c>
      <c r="C29" s="152" t="s">
        <v>197</v>
      </c>
      <c r="D29" s="152" t="s">
        <v>162</v>
      </c>
      <c r="E29" s="153">
        <v>7343.6</v>
      </c>
      <c r="F29" s="154">
        <v>0.83599999999999997</v>
      </c>
    </row>
    <row r="30" spans="1:6" ht="24.75" thickBot="1" x14ac:dyDescent="0.25">
      <c r="A30" s="151">
        <v>12662</v>
      </c>
      <c r="B30" s="152" t="s">
        <v>198</v>
      </c>
      <c r="C30" s="152" t="s">
        <v>199</v>
      </c>
      <c r="D30" s="152" t="s">
        <v>162</v>
      </c>
      <c r="E30" s="153">
        <v>5327.1</v>
      </c>
      <c r="F30" s="154">
        <v>0.60599999999999998</v>
      </c>
    </row>
    <row r="31" spans="1:6" ht="24.75" thickBot="1" x14ac:dyDescent="0.25">
      <c r="A31" s="151">
        <v>12723</v>
      </c>
      <c r="B31" s="152" t="s">
        <v>200</v>
      </c>
      <c r="C31" s="152" t="s">
        <v>201</v>
      </c>
      <c r="D31" s="152" t="s">
        <v>162</v>
      </c>
      <c r="E31" s="153">
        <v>5923</v>
      </c>
      <c r="F31" s="154">
        <v>0.67400000000000004</v>
      </c>
    </row>
    <row r="32" spans="1:6" ht="24.75" thickBot="1" x14ac:dyDescent="0.25">
      <c r="A32" s="151">
        <v>12802</v>
      </c>
      <c r="B32" s="152" t="s">
        <v>202</v>
      </c>
      <c r="C32" s="152" t="s">
        <v>203</v>
      </c>
      <c r="D32" s="152" t="s">
        <v>162</v>
      </c>
      <c r="E32" s="153">
        <v>14655.6</v>
      </c>
      <c r="F32" s="154">
        <v>1.6679999999999999</v>
      </c>
    </row>
    <row r="33" spans="1:6" ht="24.75" thickBot="1" x14ac:dyDescent="0.25">
      <c r="A33" s="151">
        <v>12813</v>
      </c>
      <c r="B33" s="152" t="s">
        <v>204</v>
      </c>
      <c r="C33" s="152" t="s">
        <v>205</v>
      </c>
      <c r="D33" s="152" t="s">
        <v>162</v>
      </c>
      <c r="E33" s="153">
        <v>4564.8</v>
      </c>
      <c r="F33" s="154">
        <v>0.52</v>
      </c>
    </row>
    <row r="34" spans="1:6" ht="24.75" thickBot="1" x14ac:dyDescent="0.25">
      <c r="A34" s="151">
        <v>12882</v>
      </c>
      <c r="B34" s="152" t="s">
        <v>206</v>
      </c>
      <c r="C34" s="152" t="s">
        <v>207</v>
      </c>
      <c r="D34" s="152" t="s">
        <v>162</v>
      </c>
      <c r="E34" s="153">
        <v>6820.8</v>
      </c>
      <c r="F34" s="154">
        <v>0.77700000000000002</v>
      </c>
    </row>
    <row r="35" spans="1:6" ht="24.75" thickBot="1" x14ac:dyDescent="0.25">
      <c r="A35" s="151">
        <v>12951</v>
      </c>
      <c r="B35" s="152" t="s">
        <v>208</v>
      </c>
      <c r="C35" s="152" t="s">
        <v>209</v>
      </c>
      <c r="D35" s="152" t="s">
        <v>162</v>
      </c>
      <c r="E35" s="153">
        <v>3291.8</v>
      </c>
      <c r="F35" s="154">
        <v>0.375</v>
      </c>
    </row>
    <row r="36" spans="1:6" ht="24.75" thickBot="1" x14ac:dyDescent="0.25">
      <c r="A36" s="151">
        <v>13025</v>
      </c>
      <c r="B36" s="152" t="s">
        <v>210</v>
      </c>
      <c r="C36" s="152" t="s">
        <v>211</v>
      </c>
      <c r="D36" s="152" t="s">
        <v>162</v>
      </c>
      <c r="E36" s="153">
        <v>5175.2</v>
      </c>
      <c r="F36" s="154">
        <v>0.58899999999999997</v>
      </c>
    </row>
    <row r="37" spans="1:6" ht="24.75" thickBot="1" x14ac:dyDescent="0.25">
      <c r="A37" s="151">
        <v>13129</v>
      </c>
      <c r="B37" s="152" t="s">
        <v>212</v>
      </c>
      <c r="C37" s="152" t="s">
        <v>213</v>
      </c>
      <c r="D37" s="152" t="s">
        <v>162</v>
      </c>
      <c r="E37" s="153">
        <v>3932.2</v>
      </c>
      <c r="F37" s="154">
        <v>0.44800000000000001</v>
      </c>
    </row>
    <row r="38" spans="1:6" ht="24.75" thickBot="1" x14ac:dyDescent="0.25">
      <c r="A38" s="151">
        <v>13240</v>
      </c>
      <c r="B38" s="152" t="s">
        <v>214</v>
      </c>
      <c r="C38" s="152" t="s">
        <v>215</v>
      </c>
      <c r="D38" s="152" t="s">
        <v>162</v>
      </c>
      <c r="E38" s="153">
        <v>3733.7</v>
      </c>
      <c r="F38" s="154">
        <v>0.42499999999999999</v>
      </c>
    </row>
    <row r="39" spans="1:6" ht="24.75" thickBot="1" x14ac:dyDescent="0.25">
      <c r="A39" s="151">
        <v>13247</v>
      </c>
      <c r="B39" s="152" t="s">
        <v>216</v>
      </c>
      <c r="C39" s="152" t="s">
        <v>193</v>
      </c>
      <c r="D39" s="152" t="s">
        <v>162</v>
      </c>
      <c r="E39" s="153">
        <v>3963.3</v>
      </c>
      <c r="F39" s="154">
        <v>0.45100000000000001</v>
      </c>
    </row>
    <row r="40" spans="1:6" ht="24.75" thickBot="1" x14ac:dyDescent="0.25">
      <c r="A40" s="151">
        <v>13390</v>
      </c>
      <c r="B40" s="152" t="s">
        <v>217</v>
      </c>
      <c r="C40" s="152" t="s">
        <v>218</v>
      </c>
      <c r="D40" s="152" t="s">
        <v>162</v>
      </c>
      <c r="E40" s="153">
        <v>2775.4</v>
      </c>
      <c r="F40" s="154">
        <v>0.316</v>
      </c>
    </row>
    <row r="41" spans="1:6" ht="24.75" thickBot="1" x14ac:dyDescent="0.25">
      <c r="A41" s="151">
        <v>13935</v>
      </c>
      <c r="B41" s="152" t="s">
        <v>219</v>
      </c>
      <c r="C41" s="152" t="s">
        <v>220</v>
      </c>
      <c r="D41" s="152" t="s">
        <v>162</v>
      </c>
      <c r="E41" s="153">
        <v>2655.2</v>
      </c>
      <c r="F41" s="154">
        <v>0.30199999999999999</v>
      </c>
    </row>
    <row r="42" spans="1:6" ht="24.75" thickBot="1" x14ac:dyDescent="0.25">
      <c r="A42" s="151">
        <v>13956</v>
      </c>
      <c r="B42" s="152" t="s">
        <v>221</v>
      </c>
      <c r="C42" s="152" t="s">
        <v>222</v>
      </c>
      <c r="D42" s="152" t="s">
        <v>162</v>
      </c>
      <c r="E42" s="153">
        <v>3191.4</v>
      </c>
      <c r="F42" s="154">
        <v>0.36299999999999999</v>
      </c>
    </row>
    <row r="43" spans="1:6" ht="24.75" thickBot="1" x14ac:dyDescent="0.25">
      <c r="A43" s="151">
        <v>14345</v>
      </c>
      <c r="B43" s="152" t="s">
        <v>223</v>
      </c>
      <c r="C43" s="152" t="s">
        <v>224</v>
      </c>
      <c r="D43" s="152" t="s">
        <v>162</v>
      </c>
      <c r="E43" s="153">
        <v>9479</v>
      </c>
      <c r="F43" s="154">
        <v>1.079</v>
      </c>
    </row>
    <row r="44" spans="1:6" ht="24.75" thickBot="1" x14ac:dyDescent="0.25">
      <c r="A44" s="151">
        <v>14560</v>
      </c>
      <c r="B44" s="152" t="s">
        <v>225</v>
      </c>
      <c r="C44" s="152" t="s">
        <v>226</v>
      </c>
      <c r="D44" s="152" t="s">
        <v>162</v>
      </c>
      <c r="E44" s="153">
        <v>2876.5</v>
      </c>
      <c r="F44" s="154">
        <v>0.32700000000000001</v>
      </c>
    </row>
    <row r="45" spans="1:6" ht="24.75" thickBot="1" x14ac:dyDescent="0.25">
      <c r="A45" s="151">
        <v>14635</v>
      </c>
      <c r="B45" s="152" t="s">
        <v>227</v>
      </c>
      <c r="C45" s="152" t="s">
        <v>228</v>
      </c>
      <c r="D45" s="152" t="s">
        <v>162</v>
      </c>
      <c r="E45" s="153">
        <v>2710.4</v>
      </c>
      <c r="F45" s="154">
        <v>0.309</v>
      </c>
    </row>
    <row r="46" spans="1:6" ht="24.75" thickBot="1" x14ac:dyDescent="0.25">
      <c r="A46" s="151">
        <v>14919</v>
      </c>
      <c r="B46" s="152" t="s">
        <v>229</v>
      </c>
      <c r="C46" s="152" t="s">
        <v>193</v>
      </c>
      <c r="D46" s="152" t="s">
        <v>162</v>
      </c>
      <c r="E46" s="153">
        <v>3793.6</v>
      </c>
      <c r="F46" s="154">
        <v>0.432</v>
      </c>
    </row>
    <row r="47" spans="1:6" ht="24.75" thickBot="1" x14ac:dyDescent="0.25">
      <c r="A47" s="151">
        <v>15471</v>
      </c>
      <c r="B47" s="152" t="s">
        <v>230</v>
      </c>
      <c r="C47" s="152" t="s">
        <v>215</v>
      </c>
      <c r="D47" s="152" t="s">
        <v>162</v>
      </c>
      <c r="E47" s="153">
        <v>4133.5</v>
      </c>
      <c r="F47" s="154">
        <v>0.47099999999999997</v>
      </c>
    </row>
    <row r="48" spans="1:6" ht="24.75" thickBot="1" x14ac:dyDescent="0.25">
      <c r="A48" s="151">
        <v>15596</v>
      </c>
      <c r="B48" s="152" t="s">
        <v>231</v>
      </c>
      <c r="C48" s="152" t="s">
        <v>232</v>
      </c>
      <c r="D48" s="152" t="s">
        <v>162</v>
      </c>
      <c r="E48" s="153">
        <v>6954</v>
      </c>
      <c r="F48" s="154">
        <v>0.79200000000000004</v>
      </c>
    </row>
    <row r="49" spans="1:6" ht="24.75" thickBot="1" x14ac:dyDescent="0.25">
      <c r="A49" s="151">
        <v>15636</v>
      </c>
      <c r="B49" s="152" t="s">
        <v>233</v>
      </c>
      <c r="C49" s="152" t="s">
        <v>234</v>
      </c>
      <c r="D49" s="152" t="s">
        <v>162</v>
      </c>
      <c r="E49" s="153">
        <v>5036.8</v>
      </c>
      <c r="F49" s="154">
        <v>0.57299999999999995</v>
      </c>
    </row>
    <row r="50" spans="1:6" ht="24.75" thickBot="1" x14ac:dyDescent="0.25">
      <c r="A50" s="151">
        <v>16085</v>
      </c>
      <c r="B50" s="152" t="s">
        <v>235</v>
      </c>
      <c r="C50" s="152" t="s">
        <v>236</v>
      </c>
      <c r="D50" s="152" t="s">
        <v>162</v>
      </c>
      <c r="E50" s="153">
        <v>4191.7</v>
      </c>
      <c r="F50" s="154">
        <v>0.47699999999999998</v>
      </c>
    </row>
    <row r="51" spans="1:6" ht="24.75" thickBot="1" x14ac:dyDescent="0.25">
      <c r="A51" s="151">
        <v>17483</v>
      </c>
      <c r="B51" s="152" t="s">
        <v>237</v>
      </c>
      <c r="C51" s="152" t="s">
        <v>224</v>
      </c>
      <c r="D51" s="152" t="s">
        <v>162</v>
      </c>
      <c r="E51" s="153">
        <v>4171</v>
      </c>
      <c r="F51" s="154">
        <v>0.47499999999999998</v>
      </c>
    </row>
    <row r="52" spans="1:6" ht="24.75" thickBot="1" x14ac:dyDescent="0.25">
      <c r="A52" s="151">
        <v>17732</v>
      </c>
      <c r="B52" s="152" t="s">
        <v>238</v>
      </c>
      <c r="C52" s="152" t="s">
        <v>239</v>
      </c>
      <c r="D52" s="152" t="s">
        <v>162</v>
      </c>
      <c r="E52" s="153">
        <v>3380.4</v>
      </c>
      <c r="F52" s="154">
        <v>0.38500000000000001</v>
      </c>
    </row>
    <row r="53" spans="1:6" ht="24.75" thickBot="1" x14ac:dyDescent="0.25">
      <c r="A53" s="151">
        <v>17975</v>
      </c>
      <c r="B53" s="152" t="s">
        <v>240</v>
      </c>
      <c r="C53" s="152" t="s">
        <v>241</v>
      </c>
      <c r="D53" s="152" t="s">
        <v>151</v>
      </c>
      <c r="E53" s="153">
        <v>2678.9</v>
      </c>
      <c r="F53" s="154">
        <v>0.30499999999999999</v>
      </c>
    </row>
    <row r="54" spans="1:6" ht="24.75" thickBot="1" x14ac:dyDescent="0.25">
      <c r="A54" s="151">
        <v>17984</v>
      </c>
      <c r="B54" s="152" t="s">
        <v>242</v>
      </c>
      <c r="C54" s="152" t="s">
        <v>243</v>
      </c>
      <c r="D54" s="152" t="s">
        <v>151</v>
      </c>
      <c r="E54" s="153">
        <v>2822.8</v>
      </c>
      <c r="F54" s="154">
        <v>0.32100000000000001</v>
      </c>
    </row>
    <row r="55" spans="1:6" ht="24.75" thickBot="1" x14ac:dyDescent="0.25">
      <c r="A55" s="151">
        <v>17989</v>
      </c>
      <c r="B55" s="152" t="s">
        <v>244</v>
      </c>
      <c r="C55" s="152" t="s">
        <v>245</v>
      </c>
      <c r="D55" s="152" t="s">
        <v>151</v>
      </c>
      <c r="E55" s="153">
        <v>3393.6</v>
      </c>
      <c r="F55" s="154">
        <v>0.38600000000000001</v>
      </c>
    </row>
    <row r="56" spans="1:6" ht="24.75" thickBot="1" x14ac:dyDescent="0.25">
      <c r="A56" s="151">
        <v>17993</v>
      </c>
      <c r="B56" s="152" t="s">
        <v>246</v>
      </c>
      <c r="C56" s="152" t="s">
        <v>247</v>
      </c>
      <c r="D56" s="152" t="s">
        <v>151</v>
      </c>
      <c r="E56" s="153">
        <v>4642.3</v>
      </c>
      <c r="F56" s="154">
        <v>0.52800000000000002</v>
      </c>
    </row>
    <row r="57" spans="1:6" ht="24.75" thickBot="1" x14ac:dyDescent="0.25">
      <c r="A57" s="151">
        <v>18173</v>
      </c>
      <c r="B57" s="152" t="s">
        <v>248</v>
      </c>
      <c r="C57" s="152" t="s">
        <v>249</v>
      </c>
      <c r="D57" s="152" t="s">
        <v>162</v>
      </c>
      <c r="E57" s="153">
        <v>4543.3</v>
      </c>
      <c r="F57" s="154">
        <v>0.51700000000000002</v>
      </c>
    </row>
    <row r="58" spans="1:6" ht="24.75" thickBot="1" x14ac:dyDescent="0.25">
      <c r="A58" s="151">
        <v>18730</v>
      </c>
      <c r="B58" s="152" t="s">
        <v>250</v>
      </c>
      <c r="C58" s="152" t="s">
        <v>251</v>
      </c>
      <c r="D58" s="152" t="s">
        <v>151</v>
      </c>
      <c r="E58" s="153">
        <v>2914</v>
      </c>
      <c r="F58" s="154">
        <v>0.33200000000000002</v>
      </c>
    </row>
    <row r="59" spans="1:6" ht="24.75" thickBot="1" x14ac:dyDescent="0.25">
      <c r="A59" s="151">
        <v>18733</v>
      </c>
      <c r="B59" s="152" t="s">
        <v>252</v>
      </c>
      <c r="C59" s="152" t="s">
        <v>253</v>
      </c>
      <c r="D59" s="155" t="s">
        <v>151</v>
      </c>
      <c r="E59" s="156">
        <v>4006.1</v>
      </c>
      <c r="F59" s="154">
        <v>0.45600000000000002</v>
      </c>
    </row>
    <row r="60" spans="1:6" x14ac:dyDescent="0.2">
      <c r="D60" s="157" t="s">
        <v>255</v>
      </c>
      <c r="E60" s="161">
        <f>SUM(E7:E59)</f>
        <v>249946.19999999995</v>
      </c>
    </row>
    <row r="61" spans="1:6" x14ac:dyDescent="0.2">
      <c r="D61" s="159"/>
      <c r="E61" s="160"/>
    </row>
    <row r="62" spans="1:6" ht="27.75" x14ac:dyDescent="0.3">
      <c r="A62" s="113" t="s">
        <v>256</v>
      </c>
      <c r="B62" s="114">
        <f>+E60*E4</f>
        <v>84890.579054166796</v>
      </c>
      <c r="C62" s="114" t="s">
        <v>257</v>
      </c>
      <c r="D62" s="94" t="s">
        <v>141</v>
      </c>
    </row>
    <row r="64" spans="1:6" x14ac:dyDescent="0.2">
      <c r="A64" s="158"/>
    </row>
  </sheetData>
  <mergeCells count="2">
    <mergeCell ref="E3:F3"/>
    <mergeCell ref="E2:F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53FA-C78B-4715-8C06-C14361B85727}">
  <dimension ref="A1:AL53"/>
  <sheetViews>
    <sheetView showGridLines="0" topLeftCell="A31" workbookViewId="0">
      <selection activeCell="B53" sqref="B53"/>
    </sheetView>
  </sheetViews>
  <sheetFormatPr baseColWidth="10" defaultRowHeight="12" x14ac:dyDescent="0.2"/>
  <cols>
    <col min="1" max="1" width="52.42578125" style="94" customWidth="1"/>
    <col min="2" max="2" width="64.5703125" style="94" customWidth="1"/>
    <col min="3" max="3" width="13.5703125" style="94" bestFit="1" customWidth="1"/>
    <col min="4" max="5" width="11.42578125" style="94"/>
    <col min="6" max="6" width="14.42578125" style="94" customWidth="1"/>
    <col min="7" max="33" width="11.42578125" style="94"/>
    <col min="34" max="34" width="53" style="94" bestFit="1" customWidth="1"/>
    <col min="35" max="37" width="11.42578125" style="94"/>
    <col min="38" max="38" width="13.5703125" style="94" bestFit="1" customWidth="1"/>
    <col min="39" max="16384" width="11.42578125" style="94"/>
  </cols>
  <sheetData>
    <row r="1" spans="1:38" ht="30" x14ac:dyDescent="0.4">
      <c r="A1" s="93" t="s">
        <v>116</v>
      </c>
    </row>
    <row r="2" spans="1:38" ht="23.25" x14ac:dyDescent="0.4">
      <c r="A2" s="92" t="s">
        <v>117</v>
      </c>
      <c r="E2" s="198" t="s">
        <v>106</v>
      </c>
      <c r="F2" s="198"/>
    </row>
    <row r="3" spans="1:38" ht="20.25" x14ac:dyDescent="0.3">
      <c r="A3" s="92" t="s">
        <v>261</v>
      </c>
      <c r="E3" s="196" t="s">
        <v>119</v>
      </c>
      <c r="F3" s="197"/>
    </row>
    <row r="4" spans="1:38" x14ac:dyDescent="0.2">
      <c r="A4" s="94" t="s">
        <v>582</v>
      </c>
      <c r="E4" s="85">
        <f>+'4 a) Simple OM 2007-2019'!L33</f>
        <v>0.33963540575598594</v>
      </c>
      <c r="F4" s="146" t="s">
        <v>254</v>
      </c>
    </row>
    <row r="5" spans="1:38" x14ac:dyDescent="0.2">
      <c r="A5" s="94" t="s">
        <v>583</v>
      </c>
    </row>
    <row r="7" spans="1:38" ht="13.5" x14ac:dyDescent="0.25">
      <c r="A7" s="167" t="s">
        <v>560</v>
      </c>
      <c r="B7" s="167" t="s">
        <v>262</v>
      </c>
      <c r="C7" s="167" t="s">
        <v>561</v>
      </c>
      <c r="D7" s="167" t="s">
        <v>562</v>
      </c>
      <c r="E7" s="167" t="s">
        <v>263</v>
      </c>
      <c r="F7" s="167" t="s">
        <v>563</v>
      </c>
      <c r="G7" s="167" t="s">
        <v>264</v>
      </c>
      <c r="H7" s="167" t="s">
        <v>265</v>
      </c>
      <c r="I7" s="167" t="s">
        <v>266</v>
      </c>
      <c r="J7" s="167" t="s">
        <v>267</v>
      </c>
      <c r="K7" s="167" t="s">
        <v>268</v>
      </c>
      <c r="L7" s="167" t="s">
        <v>269</v>
      </c>
      <c r="M7" s="167" t="s">
        <v>270</v>
      </c>
      <c r="N7" s="167" t="s">
        <v>271</v>
      </c>
      <c r="O7" s="167" t="s">
        <v>272</v>
      </c>
      <c r="P7" s="167" t="s">
        <v>273</v>
      </c>
      <c r="Q7" s="167" t="s">
        <v>565</v>
      </c>
      <c r="R7" s="167" t="s">
        <v>564</v>
      </c>
      <c r="S7" s="167" t="s">
        <v>274</v>
      </c>
      <c r="T7" s="167" t="s">
        <v>568</v>
      </c>
      <c r="U7" s="167" t="s">
        <v>567</v>
      </c>
      <c r="V7" s="167" t="s">
        <v>566</v>
      </c>
      <c r="W7" s="167" t="s">
        <v>275</v>
      </c>
      <c r="X7" s="167" t="s">
        <v>276</v>
      </c>
      <c r="Y7" s="167" t="s">
        <v>277</v>
      </c>
      <c r="Z7" s="167" t="s">
        <v>278</v>
      </c>
      <c r="AA7" s="167" t="s">
        <v>569</v>
      </c>
      <c r="AB7" s="167" t="s">
        <v>279</v>
      </c>
      <c r="AC7" s="167" t="s">
        <v>280</v>
      </c>
      <c r="AD7" s="167" t="s">
        <v>281</v>
      </c>
      <c r="AE7" s="167" t="s">
        <v>282</v>
      </c>
      <c r="AF7" s="167" t="s">
        <v>283</v>
      </c>
      <c r="AG7" s="168" t="s">
        <v>284</v>
      </c>
      <c r="AH7" s="168" t="s">
        <v>111</v>
      </c>
      <c r="AI7" s="167" t="s">
        <v>285</v>
      </c>
      <c r="AJ7" s="167" t="s">
        <v>585</v>
      </c>
      <c r="AK7" s="167" t="s">
        <v>584</v>
      </c>
      <c r="AL7" s="167" t="s">
        <v>257</v>
      </c>
    </row>
    <row r="8" spans="1:38" x14ac:dyDescent="0.2">
      <c r="A8" s="169">
        <v>1.1E+16</v>
      </c>
      <c r="B8" s="97" t="s">
        <v>286</v>
      </c>
      <c r="C8" s="97" t="s">
        <v>287</v>
      </c>
      <c r="D8" s="97" t="s">
        <v>288</v>
      </c>
      <c r="E8" s="97" t="s">
        <v>85</v>
      </c>
      <c r="F8" s="97" t="s">
        <v>88</v>
      </c>
      <c r="G8" s="97" t="s">
        <v>289</v>
      </c>
      <c r="H8" s="97" t="s">
        <v>290</v>
      </c>
      <c r="I8" s="97" t="s">
        <v>291</v>
      </c>
      <c r="J8" s="97" t="s">
        <v>292</v>
      </c>
      <c r="K8" s="97" t="s">
        <v>293</v>
      </c>
      <c r="L8" s="97" t="s">
        <v>294</v>
      </c>
      <c r="M8" s="97" t="s">
        <v>295</v>
      </c>
      <c r="N8" s="97" t="s">
        <v>131</v>
      </c>
      <c r="O8" s="97">
        <v>336</v>
      </c>
      <c r="P8" s="97" t="s">
        <v>131</v>
      </c>
      <c r="Q8" s="97">
        <v>63</v>
      </c>
      <c r="R8" s="97" t="s">
        <v>131</v>
      </c>
      <c r="S8" s="97" t="s">
        <v>131</v>
      </c>
      <c r="T8" s="97">
        <v>79</v>
      </c>
      <c r="U8" s="97">
        <v>22</v>
      </c>
      <c r="V8" s="97" t="s">
        <v>131</v>
      </c>
      <c r="W8" s="97" t="s">
        <v>131</v>
      </c>
      <c r="X8" s="97" t="s">
        <v>131</v>
      </c>
      <c r="Y8" s="97" t="s">
        <v>131</v>
      </c>
      <c r="Z8" s="97" t="s">
        <v>131</v>
      </c>
      <c r="AA8" s="97" t="s">
        <v>131</v>
      </c>
      <c r="AB8" s="97">
        <v>500</v>
      </c>
      <c r="AC8" s="97">
        <v>3</v>
      </c>
      <c r="AD8" s="97" t="s">
        <v>296</v>
      </c>
      <c r="AE8" s="97" t="s">
        <v>297</v>
      </c>
      <c r="AF8" s="97" t="s">
        <v>162</v>
      </c>
      <c r="AG8" s="137">
        <v>14655.6</v>
      </c>
      <c r="AH8" s="137" t="s">
        <v>576</v>
      </c>
      <c r="AI8" s="97">
        <v>1.6679999999999999</v>
      </c>
      <c r="AJ8" s="137">
        <f>+AG8/AB8</f>
        <v>29.311199999999999</v>
      </c>
      <c r="AK8" s="162">
        <f>+AG8*$E$4/AB8</f>
        <v>9.9551213051948562</v>
      </c>
      <c r="AL8" s="137">
        <f>+AG8*$E$4</f>
        <v>4977.5606525974281</v>
      </c>
    </row>
    <row r="9" spans="1:38" x14ac:dyDescent="0.2">
      <c r="A9" s="169">
        <v>1E+16</v>
      </c>
      <c r="B9" s="97" t="s">
        <v>298</v>
      </c>
      <c r="C9" s="97" t="s">
        <v>299</v>
      </c>
      <c r="D9" s="97" t="s">
        <v>300</v>
      </c>
      <c r="E9" s="97" t="s">
        <v>86</v>
      </c>
      <c r="F9" s="97" t="s">
        <v>86</v>
      </c>
      <c r="G9" s="97" t="s">
        <v>289</v>
      </c>
      <c r="H9" s="97" t="s">
        <v>301</v>
      </c>
      <c r="I9" s="97" t="s">
        <v>302</v>
      </c>
      <c r="J9" s="97" t="s">
        <v>303</v>
      </c>
      <c r="K9" s="97" t="s">
        <v>304</v>
      </c>
      <c r="L9" s="97" t="s">
        <v>305</v>
      </c>
      <c r="M9" s="97" t="s">
        <v>306</v>
      </c>
      <c r="N9" s="97">
        <v>91</v>
      </c>
      <c r="O9" s="97">
        <v>5</v>
      </c>
      <c r="P9" s="97" t="s">
        <v>131</v>
      </c>
      <c r="Q9" s="97">
        <v>35</v>
      </c>
      <c r="R9" s="97" t="s">
        <v>131</v>
      </c>
      <c r="S9" s="97">
        <v>16</v>
      </c>
      <c r="T9" s="97" t="s">
        <v>131</v>
      </c>
      <c r="U9" s="97">
        <v>6</v>
      </c>
      <c r="V9" s="97" t="s">
        <v>131</v>
      </c>
      <c r="W9" s="97" t="s">
        <v>131</v>
      </c>
      <c r="X9" s="97" t="s">
        <v>131</v>
      </c>
      <c r="Y9" s="97" t="s">
        <v>131</v>
      </c>
      <c r="Z9" s="97" t="s">
        <v>131</v>
      </c>
      <c r="AA9" s="97" t="s">
        <v>131</v>
      </c>
      <c r="AB9" s="97">
        <v>153</v>
      </c>
      <c r="AC9" s="97">
        <v>3</v>
      </c>
      <c r="AD9" s="97" t="s">
        <v>296</v>
      </c>
      <c r="AE9" s="97" t="s">
        <v>297</v>
      </c>
      <c r="AF9" s="97" t="s">
        <v>151</v>
      </c>
      <c r="AG9" s="137">
        <v>5458.1</v>
      </c>
      <c r="AH9" s="137" t="s">
        <v>576</v>
      </c>
      <c r="AI9" s="97">
        <v>0.621</v>
      </c>
      <c r="AJ9" s="137">
        <f t="shared" ref="AJ9:AJ50" si="0">+AG9/AB9</f>
        <v>35.67385620915033</v>
      </c>
      <c r="AK9" s="162">
        <f t="shared" ref="AK9:AK50" si="1">+AG9*$E$4/AB9</f>
        <v>12.116104628475471</v>
      </c>
      <c r="AL9" s="137">
        <f t="shared" ref="AL9:AL50" si="2">+AG9*$E$4</f>
        <v>1853.764008156747</v>
      </c>
    </row>
    <row r="10" spans="1:38" x14ac:dyDescent="0.2">
      <c r="A10" s="169" t="s">
        <v>307</v>
      </c>
      <c r="B10" s="97" t="s">
        <v>308</v>
      </c>
      <c r="C10" s="97" t="s">
        <v>309</v>
      </c>
      <c r="D10" s="97" t="s">
        <v>586</v>
      </c>
      <c r="E10" s="97" t="s">
        <v>85</v>
      </c>
      <c r="F10" s="97" t="s">
        <v>89</v>
      </c>
      <c r="G10" s="97" t="s">
        <v>310</v>
      </c>
      <c r="H10" s="97" t="s">
        <v>311</v>
      </c>
      <c r="I10" s="97" t="s">
        <v>312</v>
      </c>
      <c r="J10" s="97" t="s">
        <v>313</v>
      </c>
      <c r="K10" s="97" t="s">
        <v>314</v>
      </c>
      <c r="L10" s="97" t="s">
        <v>315</v>
      </c>
      <c r="M10" s="97" t="s">
        <v>316</v>
      </c>
      <c r="N10" s="97">
        <v>106</v>
      </c>
      <c r="O10" s="97">
        <v>16</v>
      </c>
      <c r="P10" s="97" t="s">
        <v>131</v>
      </c>
      <c r="Q10" s="97" t="s">
        <v>131</v>
      </c>
      <c r="R10" s="97" t="s">
        <v>131</v>
      </c>
      <c r="S10" s="97" t="s">
        <v>131</v>
      </c>
      <c r="T10" s="97" t="s">
        <v>131</v>
      </c>
      <c r="U10" s="97">
        <v>13</v>
      </c>
      <c r="V10" s="97">
        <v>20</v>
      </c>
      <c r="W10" s="97" t="s">
        <v>131</v>
      </c>
      <c r="X10" s="97" t="s">
        <v>131</v>
      </c>
      <c r="Y10" s="97" t="s">
        <v>131</v>
      </c>
      <c r="Z10" s="97" t="s">
        <v>131</v>
      </c>
      <c r="AA10" s="97" t="s">
        <v>131</v>
      </c>
      <c r="AB10" s="97">
        <v>155</v>
      </c>
      <c r="AC10" s="97">
        <v>3</v>
      </c>
      <c r="AD10" s="97" t="s">
        <v>317</v>
      </c>
      <c r="AE10" s="97" t="s">
        <v>318</v>
      </c>
      <c r="AF10" s="97" t="s">
        <v>162</v>
      </c>
      <c r="AG10" s="137">
        <v>3741.6</v>
      </c>
      <c r="AH10" s="137" t="s">
        <v>576</v>
      </c>
      <c r="AI10" s="97">
        <v>0.42599999999999999</v>
      </c>
      <c r="AJ10" s="137">
        <f t="shared" si="0"/>
        <v>24.139354838709679</v>
      </c>
      <c r="AK10" s="162">
        <f t="shared" si="1"/>
        <v>8.1985795753328841</v>
      </c>
      <c r="AL10" s="137">
        <f t="shared" si="2"/>
        <v>1270.779834176597</v>
      </c>
    </row>
    <row r="11" spans="1:38" x14ac:dyDescent="0.2">
      <c r="A11" s="169" t="s">
        <v>319</v>
      </c>
      <c r="B11" s="97" t="s">
        <v>320</v>
      </c>
      <c r="C11" s="97" t="s">
        <v>299</v>
      </c>
      <c r="D11" s="97" t="s">
        <v>288</v>
      </c>
      <c r="E11" s="97" t="s">
        <v>85</v>
      </c>
      <c r="F11" s="97" t="s">
        <v>88</v>
      </c>
      <c r="G11" s="97" t="s">
        <v>321</v>
      </c>
      <c r="H11" s="97" t="s">
        <v>571</v>
      </c>
      <c r="I11" s="97" t="s">
        <v>322</v>
      </c>
      <c r="J11" s="97" t="s">
        <v>323</v>
      </c>
      <c r="K11" s="97" t="s">
        <v>314</v>
      </c>
      <c r="L11" s="97" t="s">
        <v>324</v>
      </c>
      <c r="M11" s="97" t="s">
        <v>325</v>
      </c>
      <c r="N11" s="97">
        <v>18</v>
      </c>
      <c r="O11" s="97">
        <v>200</v>
      </c>
      <c r="P11" s="97">
        <v>73</v>
      </c>
      <c r="Q11" s="97">
        <v>40</v>
      </c>
      <c r="R11" s="97">
        <v>141</v>
      </c>
      <c r="S11" s="97">
        <v>60</v>
      </c>
      <c r="T11" s="97">
        <v>32</v>
      </c>
      <c r="U11" s="97" t="s">
        <v>131</v>
      </c>
      <c r="V11" s="97" t="s">
        <v>131</v>
      </c>
      <c r="W11" s="97" t="s">
        <v>131</v>
      </c>
      <c r="X11" s="97" t="s">
        <v>131</v>
      </c>
      <c r="Y11" s="97" t="s">
        <v>131</v>
      </c>
      <c r="Z11" s="97" t="s">
        <v>131</v>
      </c>
      <c r="AA11" s="97" t="s">
        <v>131</v>
      </c>
      <c r="AB11" s="97">
        <v>564</v>
      </c>
      <c r="AC11" s="97">
        <v>3</v>
      </c>
      <c r="AD11" s="97" t="s">
        <v>296</v>
      </c>
      <c r="AE11" s="97" t="s">
        <v>297</v>
      </c>
      <c r="AF11" s="97" t="s">
        <v>162</v>
      </c>
      <c r="AG11" s="137">
        <v>7776.2</v>
      </c>
      <c r="AH11" s="137" t="s">
        <v>576</v>
      </c>
      <c r="AI11" s="97">
        <v>0.88500000000000001</v>
      </c>
      <c r="AJ11" s="137">
        <f t="shared" si="0"/>
        <v>13.787588652482269</v>
      </c>
      <c r="AK11" s="162">
        <f t="shared" si="1"/>
        <v>4.6827532663824432</v>
      </c>
      <c r="AL11" s="137">
        <f t="shared" si="2"/>
        <v>2641.0728422396978</v>
      </c>
    </row>
    <row r="12" spans="1:38" x14ac:dyDescent="0.2">
      <c r="A12" s="169">
        <v>1E+16</v>
      </c>
      <c r="B12" s="97" t="s">
        <v>326</v>
      </c>
      <c r="C12" s="97" t="s">
        <v>299</v>
      </c>
      <c r="D12" s="97" t="s">
        <v>300</v>
      </c>
      <c r="E12" s="97" t="s">
        <v>86</v>
      </c>
      <c r="F12" s="97" t="s">
        <v>86</v>
      </c>
      <c r="G12" s="97" t="s">
        <v>289</v>
      </c>
      <c r="H12" s="97" t="s">
        <v>301</v>
      </c>
      <c r="I12" s="97" t="s">
        <v>302</v>
      </c>
      <c r="J12" s="97" t="s">
        <v>327</v>
      </c>
      <c r="K12" s="97" t="s">
        <v>304</v>
      </c>
      <c r="L12" s="97" t="s">
        <v>328</v>
      </c>
      <c r="M12" s="97" t="s">
        <v>329</v>
      </c>
      <c r="N12" s="97">
        <v>96</v>
      </c>
      <c r="O12" s="97">
        <v>22</v>
      </c>
      <c r="P12" s="97" t="s">
        <v>131</v>
      </c>
      <c r="Q12" s="97">
        <v>8</v>
      </c>
      <c r="R12" s="97">
        <v>20</v>
      </c>
      <c r="S12" s="97">
        <v>5</v>
      </c>
      <c r="T12" s="97" t="s">
        <v>131</v>
      </c>
      <c r="U12" s="97">
        <v>5</v>
      </c>
      <c r="V12" s="97" t="s">
        <v>131</v>
      </c>
      <c r="W12" s="97" t="s">
        <v>131</v>
      </c>
      <c r="X12" s="97" t="s">
        <v>131</v>
      </c>
      <c r="Y12" s="97" t="s">
        <v>131</v>
      </c>
      <c r="Z12" s="97" t="s">
        <v>131</v>
      </c>
      <c r="AA12" s="97" t="s">
        <v>131</v>
      </c>
      <c r="AB12" s="97">
        <v>156</v>
      </c>
      <c r="AC12" s="97">
        <v>3</v>
      </c>
      <c r="AD12" s="97" t="s">
        <v>296</v>
      </c>
      <c r="AE12" s="97" t="s">
        <v>297</v>
      </c>
      <c r="AF12" s="97" t="s">
        <v>162</v>
      </c>
      <c r="AG12" s="137">
        <v>5327.1</v>
      </c>
      <c r="AH12" s="137" t="s">
        <v>576</v>
      </c>
      <c r="AI12" s="97">
        <v>0.60599999999999998</v>
      </c>
      <c r="AJ12" s="137">
        <f t="shared" si="0"/>
        <v>34.148076923076928</v>
      </c>
      <c r="AK12" s="162">
        <f t="shared" si="1"/>
        <v>11.597895961555851</v>
      </c>
      <c r="AL12" s="137">
        <f t="shared" si="2"/>
        <v>1809.2717700027129</v>
      </c>
    </row>
    <row r="13" spans="1:38" x14ac:dyDescent="0.2">
      <c r="A13" s="169" t="s">
        <v>330</v>
      </c>
      <c r="B13" s="97" t="s">
        <v>331</v>
      </c>
      <c r="C13" s="97" t="s">
        <v>299</v>
      </c>
      <c r="D13" s="97" t="s">
        <v>288</v>
      </c>
      <c r="E13" s="97" t="s">
        <v>86</v>
      </c>
      <c r="F13" s="97" t="s">
        <v>86</v>
      </c>
      <c r="G13" s="97" t="s">
        <v>572</v>
      </c>
      <c r="H13" s="97" t="s">
        <v>311</v>
      </c>
      <c r="I13" s="97" t="s">
        <v>332</v>
      </c>
      <c r="J13" s="97" t="s">
        <v>333</v>
      </c>
      <c r="K13" s="97" t="s">
        <v>314</v>
      </c>
      <c r="L13" s="97" t="s">
        <v>334</v>
      </c>
      <c r="M13" s="97" t="s">
        <v>335</v>
      </c>
      <c r="N13" s="97">
        <v>97</v>
      </c>
      <c r="O13" s="97">
        <v>14</v>
      </c>
      <c r="P13" s="97" t="s">
        <v>131</v>
      </c>
      <c r="Q13" s="97">
        <v>22</v>
      </c>
      <c r="R13" s="97" t="s">
        <v>131</v>
      </c>
      <c r="S13" s="97">
        <v>15</v>
      </c>
      <c r="T13" s="97">
        <v>8</v>
      </c>
      <c r="U13" s="97" t="s">
        <v>131</v>
      </c>
      <c r="V13" s="97" t="s">
        <v>131</v>
      </c>
      <c r="W13" s="97" t="s">
        <v>131</v>
      </c>
      <c r="X13" s="97" t="s">
        <v>131</v>
      </c>
      <c r="Y13" s="97" t="s">
        <v>131</v>
      </c>
      <c r="Z13" s="97" t="s">
        <v>131</v>
      </c>
      <c r="AA13" s="97" t="s">
        <v>131</v>
      </c>
      <c r="AB13" s="97">
        <v>156</v>
      </c>
      <c r="AC13" s="97">
        <v>3</v>
      </c>
      <c r="AD13" s="97" t="s">
        <v>317</v>
      </c>
      <c r="AE13" s="97" t="s">
        <v>297</v>
      </c>
      <c r="AF13" s="97" t="s">
        <v>162</v>
      </c>
      <c r="AG13" s="137">
        <v>5454.3</v>
      </c>
      <c r="AH13" s="137" t="s">
        <v>576</v>
      </c>
      <c r="AI13" s="97">
        <v>0.621</v>
      </c>
      <c r="AJ13" s="137">
        <f t="shared" si="0"/>
        <v>34.963461538461537</v>
      </c>
      <c r="AK13" s="162">
        <f t="shared" si="1"/>
        <v>11.874829446249192</v>
      </c>
      <c r="AL13" s="137">
        <f t="shared" si="2"/>
        <v>1852.4733936148741</v>
      </c>
    </row>
    <row r="14" spans="1:38" x14ac:dyDescent="0.2">
      <c r="A14" s="169">
        <v>1E+16</v>
      </c>
      <c r="B14" s="97" t="s">
        <v>336</v>
      </c>
      <c r="C14" s="97" t="s">
        <v>299</v>
      </c>
      <c r="D14" s="97" t="s">
        <v>300</v>
      </c>
      <c r="E14" s="97" t="s">
        <v>85</v>
      </c>
      <c r="F14" s="97" t="s">
        <v>337</v>
      </c>
      <c r="G14" s="97" t="s">
        <v>289</v>
      </c>
      <c r="H14" s="97" t="s">
        <v>338</v>
      </c>
      <c r="I14" s="97" t="s">
        <v>339</v>
      </c>
      <c r="J14" s="97" t="s">
        <v>340</v>
      </c>
      <c r="K14" s="97" t="s">
        <v>341</v>
      </c>
      <c r="L14" s="97" t="s">
        <v>342</v>
      </c>
      <c r="M14" s="97" t="s">
        <v>343</v>
      </c>
      <c r="N14" s="97">
        <v>237</v>
      </c>
      <c r="O14" s="97">
        <v>58</v>
      </c>
      <c r="P14" s="97">
        <v>15</v>
      </c>
      <c r="Q14" s="97">
        <v>16</v>
      </c>
      <c r="R14" s="97">
        <v>18</v>
      </c>
      <c r="S14" s="97">
        <v>40</v>
      </c>
      <c r="T14" s="97">
        <v>4</v>
      </c>
      <c r="U14" s="97">
        <v>6</v>
      </c>
      <c r="V14" s="97" t="s">
        <v>131</v>
      </c>
      <c r="W14" s="97" t="s">
        <v>131</v>
      </c>
      <c r="X14" s="97" t="s">
        <v>131</v>
      </c>
      <c r="Y14" s="97" t="s">
        <v>131</v>
      </c>
      <c r="Z14" s="97" t="s">
        <v>131</v>
      </c>
      <c r="AA14" s="97" t="s">
        <v>131</v>
      </c>
      <c r="AB14" s="97">
        <v>394</v>
      </c>
      <c r="AC14" s="97">
        <v>3</v>
      </c>
      <c r="AD14" s="97" t="s">
        <v>296</v>
      </c>
      <c r="AE14" s="97" t="s">
        <v>297</v>
      </c>
      <c r="AF14" s="97" t="s">
        <v>151</v>
      </c>
      <c r="AG14" s="137">
        <v>6350.4</v>
      </c>
      <c r="AH14" s="137" t="s">
        <v>576</v>
      </c>
      <c r="AI14" s="97">
        <v>0.72299999999999998</v>
      </c>
      <c r="AJ14" s="137">
        <f t="shared" si="0"/>
        <v>16.117766497461929</v>
      </c>
      <c r="AK14" s="162">
        <f t="shared" si="1"/>
        <v>5.4741641642457184</v>
      </c>
      <c r="AL14" s="137">
        <f t="shared" si="2"/>
        <v>2156.8206807128131</v>
      </c>
    </row>
    <row r="15" spans="1:38" x14ac:dyDescent="0.2">
      <c r="A15" s="169">
        <v>1E+16</v>
      </c>
      <c r="B15" s="97" t="s">
        <v>344</v>
      </c>
      <c r="C15" s="97" t="s">
        <v>299</v>
      </c>
      <c r="D15" s="97" t="s">
        <v>300</v>
      </c>
      <c r="E15" s="97" t="s">
        <v>85</v>
      </c>
      <c r="F15" s="97" t="s">
        <v>570</v>
      </c>
      <c r="G15" s="97" t="s">
        <v>289</v>
      </c>
      <c r="H15" s="97" t="s">
        <v>301</v>
      </c>
      <c r="I15" s="97" t="s">
        <v>302</v>
      </c>
      <c r="J15" s="97" t="s">
        <v>573</v>
      </c>
      <c r="K15" s="97" t="s">
        <v>314</v>
      </c>
      <c r="L15" s="97" t="s">
        <v>345</v>
      </c>
      <c r="M15" s="97" t="s">
        <v>346</v>
      </c>
      <c r="N15" s="97">
        <v>310</v>
      </c>
      <c r="O15" s="97">
        <v>17</v>
      </c>
      <c r="P15" s="97">
        <v>20</v>
      </c>
      <c r="Q15" s="97">
        <v>22</v>
      </c>
      <c r="R15" s="97">
        <v>35</v>
      </c>
      <c r="S15" s="97">
        <v>30</v>
      </c>
      <c r="T15" s="97">
        <v>12</v>
      </c>
      <c r="U15" s="97" t="s">
        <v>131</v>
      </c>
      <c r="V15" s="97">
        <v>10</v>
      </c>
      <c r="W15" s="97" t="s">
        <v>131</v>
      </c>
      <c r="X15" s="97" t="s">
        <v>131</v>
      </c>
      <c r="Y15" s="97" t="s">
        <v>131</v>
      </c>
      <c r="Z15" s="97" t="s">
        <v>131</v>
      </c>
      <c r="AA15" s="97" t="s">
        <v>131</v>
      </c>
      <c r="AB15" s="97">
        <v>456</v>
      </c>
      <c r="AC15" s="97">
        <v>3</v>
      </c>
      <c r="AD15" s="97" t="s">
        <v>296</v>
      </c>
      <c r="AE15" s="97" t="s">
        <v>297</v>
      </c>
      <c r="AF15" s="97" t="s">
        <v>162</v>
      </c>
      <c r="AG15" s="137">
        <v>5923</v>
      </c>
      <c r="AH15" s="137" t="s">
        <v>576</v>
      </c>
      <c r="AI15" s="97">
        <v>0.67400000000000004</v>
      </c>
      <c r="AJ15" s="137">
        <f t="shared" si="0"/>
        <v>12.989035087719298</v>
      </c>
      <c r="AK15" s="162">
        <f t="shared" si="1"/>
        <v>4.4115362023962819</v>
      </c>
      <c r="AL15" s="137">
        <f t="shared" si="2"/>
        <v>2011.6605082927047</v>
      </c>
    </row>
    <row r="16" spans="1:38" x14ac:dyDescent="0.2">
      <c r="A16" s="169" t="s">
        <v>347</v>
      </c>
      <c r="B16" s="97" t="s">
        <v>150</v>
      </c>
      <c r="C16" s="97" t="s">
        <v>299</v>
      </c>
      <c r="D16" s="97" t="s">
        <v>300</v>
      </c>
      <c r="E16" s="97" t="s">
        <v>86</v>
      </c>
      <c r="F16" s="97" t="s">
        <v>86</v>
      </c>
      <c r="G16" s="97" t="s">
        <v>574</v>
      </c>
      <c r="H16" s="97" t="s">
        <v>348</v>
      </c>
      <c r="I16" s="97" t="s">
        <v>349</v>
      </c>
      <c r="J16" s="97" t="s">
        <v>350</v>
      </c>
      <c r="K16" s="97" t="s">
        <v>293</v>
      </c>
      <c r="L16" s="97" t="s">
        <v>351</v>
      </c>
      <c r="M16" s="97" t="s">
        <v>352</v>
      </c>
      <c r="N16" s="97">
        <v>165</v>
      </c>
      <c r="O16" s="97" t="s">
        <v>131</v>
      </c>
      <c r="P16" s="97" t="s">
        <v>131</v>
      </c>
      <c r="Q16" s="97" t="s">
        <v>131</v>
      </c>
      <c r="R16" s="97" t="s">
        <v>131</v>
      </c>
      <c r="S16" s="97">
        <v>11</v>
      </c>
      <c r="T16" s="97" t="s">
        <v>131</v>
      </c>
      <c r="U16" s="97" t="s">
        <v>131</v>
      </c>
      <c r="V16" s="97" t="s">
        <v>131</v>
      </c>
      <c r="W16" s="97" t="s">
        <v>131</v>
      </c>
      <c r="X16" s="97" t="s">
        <v>131</v>
      </c>
      <c r="Y16" s="97" t="s">
        <v>131</v>
      </c>
      <c r="Z16" s="97" t="s">
        <v>131</v>
      </c>
      <c r="AA16" s="97" t="s">
        <v>131</v>
      </c>
      <c r="AB16" s="97">
        <v>176</v>
      </c>
      <c r="AC16" s="97">
        <v>2</v>
      </c>
      <c r="AD16" s="97" t="s">
        <v>353</v>
      </c>
      <c r="AE16" s="97" t="s">
        <v>297</v>
      </c>
      <c r="AF16" s="97" t="s">
        <v>151</v>
      </c>
      <c r="AG16" s="137">
        <v>3108.1</v>
      </c>
      <c r="AH16" s="137" t="s">
        <v>576</v>
      </c>
      <c r="AI16" s="97">
        <v>0.35399999999999998</v>
      </c>
      <c r="AJ16" s="137">
        <f t="shared" si="0"/>
        <v>17.659659090909091</v>
      </c>
      <c r="AK16" s="162">
        <f t="shared" si="1"/>
        <v>5.9978454808532948</v>
      </c>
      <c r="AL16" s="137">
        <f t="shared" si="2"/>
        <v>1055.6208046301799</v>
      </c>
    </row>
    <row r="17" spans="1:38" x14ac:dyDescent="0.2">
      <c r="A17" s="169" t="s">
        <v>354</v>
      </c>
      <c r="B17" s="97" t="s">
        <v>355</v>
      </c>
      <c r="C17" s="97" t="s">
        <v>299</v>
      </c>
      <c r="D17" s="97" t="s">
        <v>300</v>
      </c>
      <c r="E17" s="97" t="s">
        <v>86</v>
      </c>
      <c r="F17" s="97" t="s">
        <v>356</v>
      </c>
      <c r="G17" s="97" t="s">
        <v>357</v>
      </c>
      <c r="H17" s="97" t="s">
        <v>358</v>
      </c>
      <c r="I17" s="97" t="s">
        <v>358</v>
      </c>
      <c r="J17" s="97" t="s">
        <v>359</v>
      </c>
      <c r="K17" s="97" t="s">
        <v>314</v>
      </c>
      <c r="L17" s="97" t="s">
        <v>360</v>
      </c>
      <c r="M17" s="97" t="s">
        <v>361</v>
      </c>
      <c r="N17" s="97">
        <v>113</v>
      </c>
      <c r="O17" s="97">
        <v>5</v>
      </c>
      <c r="P17" s="97">
        <v>20</v>
      </c>
      <c r="Q17" s="97">
        <v>7</v>
      </c>
      <c r="R17" s="97">
        <v>10</v>
      </c>
      <c r="S17" s="97">
        <v>16</v>
      </c>
      <c r="T17" s="97">
        <v>4</v>
      </c>
      <c r="U17" s="97">
        <v>2</v>
      </c>
      <c r="V17" s="97" t="s">
        <v>131</v>
      </c>
      <c r="W17" s="97" t="s">
        <v>131</v>
      </c>
      <c r="X17" s="97" t="s">
        <v>131</v>
      </c>
      <c r="Y17" s="97" t="s">
        <v>131</v>
      </c>
      <c r="Z17" s="97" t="s">
        <v>131</v>
      </c>
      <c r="AA17" s="97" t="s">
        <v>131</v>
      </c>
      <c r="AB17" s="97">
        <v>177</v>
      </c>
      <c r="AC17" s="97">
        <v>4</v>
      </c>
      <c r="AD17" s="97" t="s">
        <v>362</v>
      </c>
      <c r="AE17" s="97" t="s">
        <v>363</v>
      </c>
      <c r="AF17" s="97" t="s">
        <v>162</v>
      </c>
      <c r="AG17" s="137">
        <v>3301</v>
      </c>
      <c r="AH17" s="137" t="s">
        <v>576</v>
      </c>
      <c r="AI17" s="97">
        <v>0.376</v>
      </c>
      <c r="AJ17" s="137">
        <f t="shared" si="0"/>
        <v>18.649717514124294</v>
      </c>
      <c r="AK17" s="162">
        <f t="shared" si="1"/>
        <v>6.3341043751441219</v>
      </c>
      <c r="AL17" s="137">
        <f t="shared" si="2"/>
        <v>1121.1364744005095</v>
      </c>
    </row>
    <row r="18" spans="1:38" x14ac:dyDescent="0.2">
      <c r="A18" s="169" t="s">
        <v>364</v>
      </c>
      <c r="B18" s="97" t="s">
        <v>365</v>
      </c>
      <c r="C18" s="97" t="s">
        <v>299</v>
      </c>
      <c r="D18" s="97" t="s">
        <v>300</v>
      </c>
      <c r="E18" s="97" t="s">
        <v>86</v>
      </c>
      <c r="F18" s="97" t="s">
        <v>86</v>
      </c>
      <c r="G18" s="97" t="s">
        <v>321</v>
      </c>
      <c r="H18" s="97" t="s">
        <v>366</v>
      </c>
      <c r="I18" s="97" t="s">
        <v>367</v>
      </c>
      <c r="J18" s="97" t="s">
        <v>368</v>
      </c>
      <c r="K18" s="97" t="s">
        <v>314</v>
      </c>
      <c r="L18" s="97" t="s">
        <v>369</v>
      </c>
      <c r="M18" s="97" t="s">
        <v>370</v>
      </c>
      <c r="N18" s="97">
        <v>127</v>
      </c>
      <c r="O18" s="97">
        <v>12</v>
      </c>
      <c r="P18" s="97" t="s">
        <v>131</v>
      </c>
      <c r="Q18" s="97">
        <v>12</v>
      </c>
      <c r="R18" s="97" t="s">
        <v>131</v>
      </c>
      <c r="S18" s="97">
        <v>19</v>
      </c>
      <c r="T18" s="97">
        <v>10</v>
      </c>
      <c r="U18" s="97" t="s">
        <v>131</v>
      </c>
      <c r="V18" s="97" t="s">
        <v>131</v>
      </c>
      <c r="W18" s="97" t="s">
        <v>131</v>
      </c>
      <c r="X18" s="97" t="s">
        <v>131</v>
      </c>
      <c r="Y18" s="97" t="s">
        <v>131</v>
      </c>
      <c r="Z18" s="97" t="s">
        <v>131</v>
      </c>
      <c r="AA18" s="97" t="s">
        <v>131</v>
      </c>
      <c r="AB18" s="97">
        <v>180</v>
      </c>
      <c r="AC18" s="97">
        <v>3</v>
      </c>
      <c r="AD18" s="97" t="s">
        <v>296</v>
      </c>
      <c r="AE18" s="97" t="s">
        <v>297</v>
      </c>
      <c r="AF18" s="97" t="s">
        <v>151</v>
      </c>
      <c r="AG18" s="137">
        <v>11402.7</v>
      </c>
      <c r="AH18" s="137" t="s">
        <v>576</v>
      </c>
      <c r="AI18" s="97">
        <v>1.298</v>
      </c>
      <c r="AJ18" s="137">
        <f t="shared" si="0"/>
        <v>63.348333333333336</v>
      </c>
      <c r="AK18" s="162">
        <f t="shared" si="1"/>
        <v>21.515336895632117</v>
      </c>
      <c r="AL18" s="137">
        <f t="shared" si="2"/>
        <v>3872.7606412137811</v>
      </c>
    </row>
    <row r="19" spans="1:38" x14ac:dyDescent="0.2">
      <c r="A19" s="169">
        <v>1E+16</v>
      </c>
      <c r="B19" s="97" t="s">
        <v>371</v>
      </c>
      <c r="C19" s="97" t="s">
        <v>299</v>
      </c>
      <c r="D19" s="97" t="s">
        <v>288</v>
      </c>
      <c r="E19" s="97" t="s">
        <v>86</v>
      </c>
      <c r="F19" s="97" t="s">
        <v>86</v>
      </c>
      <c r="G19" s="97" t="s">
        <v>289</v>
      </c>
      <c r="H19" s="97" t="s">
        <v>372</v>
      </c>
      <c r="I19" s="97" t="s">
        <v>373</v>
      </c>
      <c r="J19" s="97" t="s">
        <v>374</v>
      </c>
      <c r="K19" s="97" t="s">
        <v>314</v>
      </c>
      <c r="L19" s="97" t="s">
        <v>375</v>
      </c>
      <c r="M19" s="97" t="s">
        <v>376</v>
      </c>
      <c r="N19" s="97">
        <v>285</v>
      </c>
      <c r="O19" s="97">
        <v>55</v>
      </c>
      <c r="P19" s="97">
        <v>23</v>
      </c>
      <c r="Q19" s="97">
        <v>28</v>
      </c>
      <c r="R19" s="97">
        <v>36</v>
      </c>
      <c r="S19" s="97">
        <v>68</v>
      </c>
      <c r="T19" s="97">
        <v>18</v>
      </c>
      <c r="U19" s="97">
        <v>23</v>
      </c>
      <c r="V19" s="97">
        <v>33</v>
      </c>
      <c r="W19" s="97" t="s">
        <v>131</v>
      </c>
      <c r="X19" s="97" t="s">
        <v>131</v>
      </c>
      <c r="Y19" s="97" t="s">
        <v>131</v>
      </c>
      <c r="Z19" s="97" t="s">
        <v>131</v>
      </c>
      <c r="AA19" s="97" t="s">
        <v>131</v>
      </c>
      <c r="AB19" s="97">
        <v>569</v>
      </c>
      <c r="AC19" s="97">
        <v>3</v>
      </c>
      <c r="AD19" s="97" t="s">
        <v>296</v>
      </c>
      <c r="AE19" s="97" t="s">
        <v>297</v>
      </c>
      <c r="AF19" s="97"/>
      <c r="AG19" s="99">
        <v>23125.351999999999</v>
      </c>
      <c r="AH19" s="99" t="s">
        <v>577</v>
      </c>
      <c r="AI19" s="97"/>
      <c r="AJ19" s="137">
        <f t="shared" si="0"/>
        <v>40.642094903339192</v>
      </c>
      <c r="AK19" s="162">
        <f t="shared" si="1"/>
        <v>13.803494393268895</v>
      </c>
      <c r="AL19" s="137">
        <f t="shared" si="2"/>
        <v>7854.1883097700011</v>
      </c>
    </row>
    <row r="20" spans="1:38" x14ac:dyDescent="0.2">
      <c r="A20" s="169">
        <v>1.1E+16</v>
      </c>
      <c r="B20" s="97" t="s">
        <v>377</v>
      </c>
      <c r="C20" s="97" t="s">
        <v>287</v>
      </c>
      <c r="D20" s="97" t="s">
        <v>288</v>
      </c>
      <c r="E20" s="97" t="s">
        <v>85</v>
      </c>
      <c r="F20" s="97" t="s">
        <v>90</v>
      </c>
      <c r="G20" s="97" t="s">
        <v>289</v>
      </c>
      <c r="H20" s="97" t="s">
        <v>290</v>
      </c>
      <c r="I20" s="97" t="s">
        <v>378</v>
      </c>
      <c r="J20" s="97" t="s">
        <v>379</v>
      </c>
      <c r="K20" s="97" t="s">
        <v>314</v>
      </c>
      <c r="L20" s="97" t="s">
        <v>380</v>
      </c>
      <c r="M20" s="97" t="s">
        <v>381</v>
      </c>
      <c r="N20" s="97" t="s">
        <v>131</v>
      </c>
      <c r="O20" s="97">
        <v>25</v>
      </c>
      <c r="P20" s="97" t="s">
        <v>131</v>
      </c>
      <c r="Q20" s="97">
        <v>24</v>
      </c>
      <c r="R20" s="97">
        <v>168</v>
      </c>
      <c r="S20" s="97" t="s">
        <v>131</v>
      </c>
      <c r="T20" s="97">
        <v>24</v>
      </c>
      <c r="U20" s="97">
        <v>23</v>
      </c>
      <c r="V20" s="97" t="s">
        <v>131</v>
      </c>
      <c r="W20" s="97" t="s">
        <v>131</v>
      </c>
      <c r="X20" s="97" t="s">
        <v>131</v>
      </c>
      <c r="Y20" s="97" t="s">
        <v>131</v>
      </c>
      <c r="Z20" s="97" t="s">
        <v>131</v>
      </c>
      <c r="AA20" s="97" t="s">
        <v>131</v>
      </c>
      <c r="AB20" s="97">
        <v>264</v>
      </c>
      <c r="AC20" s="97">
        <v>3</v>
      </c>
      <c r="AD20" s="97" t="s">
        <v>296</v>
      </c>
      <c r="AE20" s="97" t="s">
        <v>297</v>
      </c>
      <c r="AF20" s="97" t="s">
        <v>151</v>
      </c>
      <c r="AG20" s="137">
        <v>4642.3</v>
      </c>
      <c r="AH20" s="137" t="s">
        <v>576</v>
      </c>
      <c r="AI20" s="97">
        <v>0.52800000000000002</v>
      </c>
      <c r="AJ20" s="137">
        <f t="shared" si="0"/>
        <v>17.584469696969698</v>
      </c>
      <c r="AK20" s="162">
        <f t="shared" si="1"/>
        <v>5.9723085005341421</v>
      </c>
      <c r="AL20" s="137">
        <f t="shared" si="2"/>
        <v>1576.6894441410136</v>
      </c>
    </row>
    <row r="21" spans="1:38" x14ac:dyDescent="0.2">
      <c r="A21" s="169">
        <v>1E+16</v>
      </c>
      <c r="B21" s="97" t="s">
        <v>382</v>
      </c>
      <c r="C21" s="97" t="s">
        <v>299</v>
      </c>
      <c r="D21" s="97" t="s">
        <v>300</v>
      </c>
      <c r="E21" s="97" t="s">
        <v>85</v>
      </c>
      <c r="F21" s="97" t="s">
        <v>90</v>
      </c>
      <c r="G21" s="97" t="s">
        <v>289</v>
      </c>
      <c r="H21" s="97" t="s">
        <v>290</v>
      </c>
      <c r="I21" s="97" t="s">
        <v>383</v>
      </c>
      <c r="J21" s="97" t="s">
        <v>384</v>
      </c>
      <c r="K21" s="97" t="s">
        <v>314</v>
      </c>
      <c r="L21" s="97" t="s">
        <v>385</v>
      </c>
      <c r="M21" s="97" t="s">
        <v>386</v>
      </c>
      <c r="N21" s="97" t="s">
        <v>131</v>
      </c>
      <c r="O21" s="97">
        <v>360</v>
      </c>
      <c r="P21" s="97">
        <v>37</v>
      </c>
      <c r="Q21" s="97">
        <v>27</v>
      </c>
      <c r="R21" s="97">
        <v>18</v>
      </c>
      <c r="S21" s="97">
        <v>27</v>
      </c>
      <c r="T21" s="97" t="s">
        <v>131</v>
      </c>
      <c r="U21" s="97" t="s">
        <v>131</v>
      </c>
      <c r="V21" s="97" t="s">
        <v>131</v>
      </c>
      <c r="W21" s="97" t="s">
        <v>131</v>
      </c>
      <c r="X21" s="97" t="s">
        <v>131</v>
      </c>
      <c r="Y21" s="97" t="s">
        <v>131</v>
      </c>
      <c r="Z21" s="97">
        <v>22</v>
      </c>
      <c r="AA21" s="97" t="s">
        <v>131</v>
      </c>
      <c r="AB21" s="97">
        <v>491</v>
      </c>
      <c r="AC21" s="97">
        <v>3</v>
      </c>
      <c r="AD21" s="97" t="s">
        <v>296</v>
      </c>
      <c r="AE21" s="97" t="s">
        <v>297</v>
      </c>
      <c r="AF21" s="97" t="s">
        <v>162</v>
      </c>
      <c r="AG21" s="137">
        <v>4564.8</v>
      </c>
      <c r="AH21" s="137" t="s">
        <v>576</v>
      </c>
      <c r="AI21" s="97">
        <v>0.52</v>
      </c>
      <c r="AJ21" s="137">
        <f t="shared" si="0"/>
        <v>9.2969450101833004</v>
      </c>
      <c r="AK21" s="162">
        <f t="shared" si="1"/>
        <v>3.1575716908246938</v>
      </c>
      <c r="AL21" s="137">
        <f t="shared" si="2"/>
        <v>1550.3677001949247</v>
      </c>
    </row>
    <row r="22" spans="1:38" x14ac:dyDescent="0.2">
      <c r="A22" s="169" t="s">
        <v>387</v>
      </c>
      <c r="B22" s="97" t="s">
        <v>388</v>
      </c>
      <c r="C22" s="97" t="s">
        <v>299</v>
      </c>
      <c r="D22" s="97" t="s">
        <v>586</v>
      </c>
      <c r="E22" s="97" t="s">
        <v>85</v>
      </c>
      <c r="F22" s="97" t="s">
        <v>90</v>
      </c>
      <c r="G22" s="97" t="s">
        <v>321</v>
      </c>
      <c r="H22" s="97" t="s">
        <v>389</v>
      </c>
      <c r="I22" s="97" t="s">
        <v>389</v>
      </c>
      <c r="J22" s="97" t="s">
        <v>390</v>
      </c>
      <c r="K22" s="97" t="s">
        <v>391</v>
      </c>
      <c r="L22" s="97" t="s">
        <v>392</v>
      </c>
      <c r="M22" s="97" t="s">
        <v>393</v>
      </c>
      <c r="N22" s="97">
        <v>36</v>
      </c>
      <c r="O22" s="97" t="s">
        <v>131</v>
      </c>
      <c r="P22" s="97" t="s">
        <v>131</v>
      </c>
      <c r="Q22" s="97">
        <v>16</v>
      </c>
      <c r="R22" s="97">
        <v>37</v>
      </c>
      <c r="S22" s="97" t="s">
        <v>131</v>
      </c>
      <c r="T22" s="97" t="s">
        <v>131</v>
      </c>
      <c r="U22" s="97" t="s">
        <v>131</v>
      </c>
      <c r="V22" s="97" t="s">
        <v>131</v>
      </c>
      <c r="W22" s="97" t="s">
        <v>131</v>
      </c>
      <c r="X22" s="97" t="s">
        <v>131</v>
      </c>
      <c r="Y22" s="97" t="s">
        <v>131</v>
      </c>
      <c r="Z22" s="97" t="s">
        <v>131</v>
      </c>
      <c r="AA22" s="97" t="s">
        <v>131</v>
      </c>
      <c r="AB22" s="97">
        <v>89</v>
      </c>
      <c r="AC22" s="97">
        <v>3</v>
      </c>
      <c r="AD22" s="97" t="s">
        <v>296</v>
      </c>
      <c r="AE22" s="97" t="s">
        <v>297</v>
      </c>
      <c r="AF22" s="97" t="s">
        <v>162</v>
      </c>
      <c r="AG22" s="137">
        <v>4543.3</v>
      </c>
      <c r="AH22" s="137" t="s">
        <v>576</v>
      </c>
      <c r="AI22" s="97">
        <v>0.51700000000000002</v>
      </c>
      <c r="AJ22" s="137">
        <f t="shared" si="0"/>
        <v>51.048314606741577</v>
      </c>
      <c r="AK22" s="162">
        <f t="shared" si="1"/>
        <v>17.337815044619898</v>
      </c>
      <c r="AL22" s="137">
        <f t="shared" si="2"/>
        <v>1543.065538971171</v>
      </c>
    </row>
    <row r="23" spans="1:38" x14ac:dyDescent="0.2">
      <c r="A23" s="169" t="s">
        <v>394</v>
      </c>
      <c r="B23" s="97" t="s">
        <v>395</v>
      </c>
      <c r="C23" s="97" t="s">
        <v>299</v>
      </c>
      <c r="D23" s="97" t="s">
        <v>300</v>
      </c>
      <c r="E23" s="97" t="s">
        <v>85</v>
      </c>
      <c r="F23" s="97" t="s">
        <v>89</v>
      </c>
      <c r="G23" s="97" t="s">
        <v>396</v>
      </c>
      <c r="H23" s="97" t="s">
        <v>397</v>
      </c>
      <c r="I23" s="97" t="s">
        <v>397</v>
      </c>
      <c r="J23" s="97" t="s">
        <v>398</v>
      </c>
      <c r="K23" s="97" t="s">
        <v>314</v>
      </c>
      <c r="L23" s="97" t="s">
        <v>399</v>
      </c>
      <c r="M23" s="97" t="s">
        <v>400</v>
      </c>
      <c r="N23" s="97">
        <v>89</v>
      </c>
      <c r="O23" s="97" t="s">
        <v>131</v>
      </c>
      <c r="P23" s="97" t="s">
        <v>131</v>
      </c>
      <c r="Q23" s="97" t="s">
        <v>131</v>
      </c>
      <c r="R23" s="97" t="s">
        <v>131</v>
      </c>
      <c r="S23" s="97">
        <v>8</v>
      </c>
      <c r="T23" s="97" t="s">
        <v>131</v>
      </c>
      <c r="U23" s="97" t="s">
        <v>131</v>
      </c>
      <c r="V23" s="97" t="s">
        <v>131</v>
      </c>
      <c r="W23" s="97" t="s">
        <v>131</v>
      </c>
      <c r="X23" s="97" t="s">
        <v>131</v>
      </c>
      <c r="Y23" s="97" t="s">
        <v>131</v>
      </c>
      <c r="Z23" s="97" t="s">
        <v>131</v>
      </c>
      <c r="AA23" s="97" t="s">
        <v>131</v>
      </c>
      <c r="AB23" s="97">
        <v>97</v>
      </c>
      <c r="AC23" s="97">
        <v>1</v>
      </c>
      <c r="AD23" s="97" t="s">
        <v>401</v>
      </c>
      <c r="AE23" s="97" t="s">
        <v>402</v>
      </c>
      <c r="AF23" s="97" t="s">
        <v>162</v>
      </c>
      <c r="AG23" s="137">
        <v>4395.3999999999996</v>
      </c>
      <c r="AH23" s="137" t="s">
        <v>576</v>
      </c>
      <c r="AI23" s="97">
        <v>0.5</v>
      </c>
      <c r="AJ23" s="137">
        <f t="shared" si="0"/>
        <v>45.313402061855669</v>
      </c>
      <c r="AK23" s="162">
        <f t="shared" si="1"/>
        <v>15.39003569546248</v>
      </c>
      <c r="AL23" s="137">
        <f t="shared" si="2"/>
        <v>1492.8334624598606</v>
      </c>
    </row>
    <row r="24" spans="1:38" x14ac:dyDescent="0.2">
      <c r="A24" s="169">
        <v>1E+16</v>
      </c>
      <c r="B24" s="97" t="s">
        <v>403</v>
      </c>
      <c r="C24" s="97" t="s">
        <v>299</v>
      </c>
      <c r="D24" s="97" t="s">
        <v>300</v>
      </c>
      <c r="E24" s="97" t="s">
        <v>85</v>
      </c>
      <c r="F24" s="97" t="s">
        <v>90</v>
      </c>
      <c r="G24" s="97" t="s">
        <v>289</v>
      </c>
      <c r="H24" s="97" t="s">
        <v>404</v>
      </c>
      <c r="I24" s="97" t="s">
        <v>405</v>
      </c>
      <c r="J24" s="97" t="s">
        <v>406</v>
      </c>
      <c r="K24" s="97" t="s">
        <v>314</v>
      </c>
      <c r="L24" s="97" t="s">
        <v>407</v>
      </c>
      <c r="M24" s="97" t="s">
        <v>408</v>
      </c>
      <c r="N24" s="97">
        <v>365</v>
      </c>
      <c r="O24" s="97">
        <v>20</v>
      </c>
      <c r="P24" s="97">
        <v>30</v>
      </c>
      <c r="Q24" s="97">
        <v>27</v>
      </c>
      <c r="R24" s="97">
        <v>16</v>
      </c>
      <c r="S24" s="97">
        <v>34</v>
      </c>
      <c r="T24" s="97" t="s">
        <v>131</v>
      </c>
      <c r="U24" s="97">
        <v>6</v>
      </c>
      <c r="V24" s="97" t="s">
        <v>131</v>
      </c>
      <c r="W24" s="97" t="s">
        <v>131</v>
      </c>
      <c r="X24" s="97" t="s">
        <v>131</v>
      </c>
      <c r="Y24" s="97" t="s">
        <v>131</v>
      </c>
      <c r="Z24" s="97">
        <v>53</v>
      </c>
      <c r="AA24" s="97" t="s">
        <v>131</v>
      </c>
      <c r="AB24" s="97">
        <v>551</v>
      </c>
      <c r="AC24" s="97">
        <v>3</v>
      </c>
      <c r="AD24" s="97" t="s">
        <v>296</v>
      </c>
      <c r="AE24" s="97" t="s">
        <v>297</v>
      </c>
      <c r="AF24" s="97" t="s">
        <v>151</v>
      </c>
      <c r="AG24" s="137">
        <v>4006.1</v>
      </c>
      <c r="AH24" s="137" t="s">
        <v>576</v>
      </c>
      <c r="AI24" s="97">
        <v>0.45600000000000002</v>
      </c>
      <c r="AJ24" s="137">
        <f t="shared" si="0"/>
        <v>7.2705989110707803</v>
      </c>
      <c r="AK24" s="162">
        <f t="shared" si="1"/>
        <v>2.4693528112505541</v>
      </c>
      <c r="AL24" s="137">
        <f t="shared" si="2"/>
        <v>1360.6133989990553</v>
      </c>
    </row>
    <row r="25" spans="1:38" x14ac:dyDescent="0.2">
      <c r="A25" s="169">
        <v>1E+16</v>
      </c>
      <c r="B25" s="97" t="s">
        <v>409</v>
      </c>
      <c r="C25" s="97" t="s">
        <v>299</v>
      </c>
      <c r="D25" s="97" t="s">
        <v>300</v>
      </c>
      <c r="E25" s="97" t="s">
        <v>86</v>
      </c>
      <c r="F25" s="97" t="s">
        <v>86</v>
      </c>
      <c r="G25" s="97" t="s">
        <v>289</v>
      </c>
      <c r="H25" s="97" t="s">
        <v>410</v>
      </c>
      <c r="I25" s="97" t="s">
        <v>411</v>
      </c>
      <c r="J25" s="97" t="s">
        <v>412</v>
      </c>
      <c r="K25" s="97" t="s">
        <v>341</v>
      </c>
      <c r="L25" s="97" t="s">
        <v>413</v>
      </c>
      <c r="M25" s="97" t="s">
        <v>414</v>
      </c>
      <c r="N25" s="97">
        <v>277</v>
      </c>
      <c r="O25" s="97">
        <v>15</v>
      </c>
      <c r="P25" s="97" t="s">
        <v>131</v>
      </c>
      <c r="Q25" s="97">
        <v>18</v>
      </c>
      <c r="R25" s="97" t="s">
        <v>131</v>
      </c>
      <c r="S25" s="97">
        <v>25</v>
      </c>
      <c r="T25" s="97">
        <v>16</v>
      </c>
      <c r="U25" s="97">
        <v>27</v>
      </c>
      <c r="V25" s="97" t="s">
        <v>131</v>
      </c>
      <c r="W25" s="97" t="s">
        <v>131</v>
      </c>
      <c r="X25" s="97" t="s">
        <v>131</v>
      </c>
      <c r="Y25" s="97" t="s">
        <v>131</v>
      </c>
      <c r="Z25" s="97" t="s">
        <v>131</v>
      </c>
      <c r="AA25" s="97" t="s">
        <v>131</v>
      </c>
      <c r="AB25" s="97">
        <v>378</v>
      </c>
      <c r="AC25" s="97">
        <v>3</v>
      </c>
      <c r="AD25" s="97" t="s">
        <v>296</v>
      </c>
      <c r="AE25" s="97" t="s">
        <v>297</v>
      </c>
      <c r="AF25" s="97"/>
      <c r="AG25" s="137">
        <v>3932.2</v>
      </c>
      <c r="AH25" s="137" t="s">
        <v>576</v>
      </c>
      <c r="AI25" s="97">
        <v>0.44800000000000001</v>
      </c>
      <c r="AJ25" s="137">
        <f t="shared" si="0"/>
        <v>10.402645502645502</v>
      </c>
      <c r="AK25" s="162">
        <f t="shared" si="1"/>
        <v>3.5331067262266873</v>
      </c>
      <c r="AL25" s="137">
        <f t="shared" si="2"/>
        <v>1335.5143425136878</v>
      </c>
    </row>
    <row r="26" spans="1:38" x14ac:dyDescent="0.2">
      <c r="A26" s="169" t="s">
        <v>415</v>
      </c>
      <c r="B26" s="97" t="s">
        <v>416</v>
      </c>
      <c r="C26" s="97" t="s">
        <v>299</v>
      </c>
      <c r="D26" s="97" t="s">
        <v>300</v>
      </c>
      <c r="E26" s="97" t="s">
        <v>86</v>
      </c>
      <c r="F26" s="97" t="s">
        <v>86</v>
      </c>
      <c r="G26" s="97" t="s">
        <v>321</v>
      </c>
      <c r="H26" s="97" t="s">
        <v>417</v>
      </c>
      <c r="I26" s="97" t="s">
        <v>418</v>
      </c>
      <c r="J26" s="97" t="s">
        <v>419</v>
      </c>
      <c r="K26" s="97" t="s">
        <v>314</v>
      </c>
      <c r="L26" s="97" t="s">
        <v>420</v>
      </c>
      <c r="M26" s="97" t="s">
        <v>421</v>
      </c>
      <c r="N26" s="97">
        <v>118</v>
      </c>
      <c r="O26" s="97">
        <v>12</v>
      </c>
      <c r="P26" s="97" t="s">
        <v>131</v>
      </c>
      <c r="Q26" s="97">
        <v>20</v>
      </c>
      <c r="R26" s="97">
        <v>30</v>
      </c>
      <c r="S26" s="97">
        <v>9</v>
      </c>
      <c r="T26" s="97">
        <v>3</v>
      </c>
      <c r="U26" s="97" t="s">
        <v>131</v>
      </c>
      <c r="V26" s="97" t="s">
        <v>131</v>
      </c>
      <c r="W26" s="97" t="s">
        <v>131</v>
      </c>
      <c r="X26" s="97" t="s">
        <v>131</v>
      </c>
      <c r="Y26" s="97" t="s">
        <v>131</v>
      </c>
      <c r="Z26" s="97" t="s">
        <v>131</v>
      </c>
      <c r="AA26" s="97" t="s">
        <v>131</v>
      </c>
      <c r="AB26" s="97">
        <v>192</v>
      </c>
      <c r="AC26" s="97">
        <v>3</v>
      </c>
      <c r="AD26" s="97" t="s">
        <v>296</v>
      </c>
      <c r="AE26" s="97" t="s">
        <v>297</v>
      </c>
      <c r="AF26" s="97"/>
      <c r="AG26" s="99">
        <v>4085.134</v>
      </c>
      <c r="AH26" s="99" t="s">
        <v>577</v>
      </c>
      <c r="AI26" s="97"/>
      <c r="AJ26" s="137">
        <f t="shared" si="0"/>
        <v>21.276739583333335</v>
      </c>
      <c r="AK26" s="162">
        <f t="shared" si="1"/>
        <v>7.2263340815498642</v>
      </c>
      <c r="AL26" s="137">
        <f t="shared" si="2"/>
        <v>1387.4561436575739</v>
      </c>
    </row>
    <row r="27" spans="1:38" x14ac:dyDescent="0.2">
      <c r="A27" s="169" t="s">
        <v>422</v>
      </c>
      <c r="B27" s="97" t="s">
        <v>423</v>
      </c>
      <c r="C27" s="97" t="s">
        <v>299</v>
      </c>
      <c r="D27" s="97" t="s">
        <v>288</v>
      </c>
      <c r="E27" s="97" t="s">
        <v>86</v>
      </c>
      <c r="F27" s="97" t="s">
        <v>424</v>
      </c>
      <c r="G27" s="97" t="s">
        <v>321</v>
      </c>
      <c r="H27" s="97" t="s">
        <v>425</v>
      </c>
      <c r="I27" s="97" t="s">
        <v>425</v>
      </c>
      <c r="J27" s="97" t="s">
        <v>426</v>
      </c>
      <c r="K27" s="97" t="s">
        <v>314</v>
      </c>
      <c r="L27" s="97" t="s">
        <v>427</v>
      </c>
      <c r="M27" s="97" t="s">
        <v>428</v>
      </c>
      <c r="N27" s="97">
        <v>64</v>
      </c>
      <c r="O27" s="97">
        <v>4</v>
      </c>
      <c r="P27" s="97" t="s">
        <v>131</v>
      </c>
      <c r="Q27" s="97" t="s">
        <v>131</v>
      </c>
      <c r="R27" s="97">
        <v>10</v>
      </c>
      <c r="S27" s="97">
        <v>48</v>
      </c>
      <c r="T27" s="97">
        <v>26</v>
      </c>
      <c r="U27" s="97">
        <v>46</v>
      </c>
      <c r="V27" s="97" t="s">
        <v>131</v>
      </c>
      <c r="W27" s="97" t="s">
        <v>131</v>
      </c>
      <c r="X27" s="97" t="s">
        <v>131</v>
      </c>
      <c r="Y27" s="97" t="s">
        <v>131</v>
      </c>
      <c r="Z27" s="97" t="s">
        <v>131</v>
      </c>
      <c r="AA27" s="97" t="s">
        <v>131</v>
      </c>
      <c r="AB27" s="97">
        <v>198</v>
      </c>
      <c r="AC27" s="97">
        <v>3</v>
      </c>
      <c r="AD27" s="97" t="s">
        <v>296</v>
      </c>
      <c r="AE27" s="97" t="s">
        <v>297</v>
      </c>
      <c r="AF27" s="97" t="s">
        <v>162</v>
      </c>
      <c r="AG27" s="137">
        <v>5036.8</v>
      </c>
      <c r="AH27" s="137" t="s">
        <v>576</v>
      </c>
      <c r="AI27" s="97">
        <v>0.57299999999999995</v>
      </c>
      <c r="AJ27" s="137">
        <f t="shared" si="0"/>
        <v>25.438383838383839</v>
      </c>
      <c r="AK27" s="162">
        <f t="shared" si="1"/>
        <v>8.6397758167260097</v>
      </c>
      <c r="AL27" s="137">
        <f t="shared" si="2"/>
        <v>1710.67561171175</v>
      </c>
    </row>
    <row r="28" spans="1:38" x14ac:dyDescent="0.2">
      <c r="A28" s="169" t="s">
        <v>429</v>
      </c>
      <c r="B28" s="97" t="s">
        <v>430</v>
      </c>
      <c r="C28" s="97" t="s">
        <v>299</v>
      </c>
      <c r="D28" s="97" t="s">
        <v>300</v>
      </c>
      <c r="E28" s="97" t="s">
        <v>85</v>
      </c>
      <c r="F28" s="97" t="s">
        <v>89</v>
      </c>
      <c r="G28" s="97" t="s">
        <v>431</v>
      </c>
      <c r="H28" s="97" t="s">
        <v>432</v>
      </c>
      <c r="I28" s="97" t="s">
        <v>433</v>
      </c>
      <c r="J28" s="97" t="s">
        <v>434</v>
      </c>
      <c r="K28" s="97" t="s">
        <v>314</v>
      </c>
      <c r="L28" s="97" t="s">
        <v>435</v>
      </c>
      <c r="M28" s="97" t="s">
        <v>436</v>
      </c>
      <c r="N28" s="97">
        <v>207</v>
      </c>
      <c r="O28" s="97">
        <v>14</v>
      </c>
      <c r="P28" s="97">
        <v>104</v>
      </c>
      <c r="Q28" s="97">
        <v>98</v>
      </c>
      <c r="R28" s="97" t="s">
        <v>131</v>
      </c>
      <c r="S28" s="97">
        <v>27</v>
      </c>
      <c r="T28" s="97" t="s">
        <v>131</v>
      </c>
      <c r="U28" s="97" t="s">
        <v>131</v>
      </c>
      <c r="V28" s="97">
        <v>19</v>
      </c>
      <c r="W28" s="97" t="s">
        <v>131</v>
      </c>
      <c r="X28" s="97" t="s">
        <v>131</v>
      </c>
      <c r="Y28" s="97" t="s">
        <v>131</v>
      </c>
      <c r="Z28" s="97">
        <v>24</v>
      </c>
      <c r="AA28" s="97" t="s">
        <v>131</v>
      </c>
      <c r="AB28" s="97">
        <v>493</v>
      </c>
      <c r="AC28" s="97">
        <v>1</v>
      </c>
      <c r="AD28" s="97" t="s">
        <v>401</v>
      </c>
      <c r="AE28" s="97" t="s">
        <v>402</v>
      </c>
      <c r="AF28" s="97" t="s">
        <v>162</v>
      </c>
      <c r="AG28" s="137">
        <v>3589</v>
      </c>
      <c r="AH28" s="137" t="s">
        <v>576</v>
      </c>
      <c r="AI28" s="97">
        <v>0.40899999999999997</v>
      </c>
      <c r="AJ28" s="137">
        <f t="shared" si="0"/>
        <v>7.2799188640973629</v>
      </c>
      <c r="AK28" s="162">
        <f t="shared" si="1"/>
        <v>2.4725181972783643</v>
      </c>
      <c r="AL28" s="137">
        <f t="shared" si="2"/>
        <v>1218.9514712582336</v>
      </c>
    </row>
    <row r="29" spans="1:38" x14ac:dyDescent="0.2">
      <c r="A29" s="169">
        <v>1E+16</v>
      </c>
      <c r="B29" s="97" t="s">
        <v>437</v>
      </c>
      <c r="C29" s="97" t="s">
        <v>299</v>
      </c>
      <c r="D29" s="97" t="s">
        <v>300</v>
      </c>
      <c r="E29" s="97" t="s">
        <v>85</v>
      </c>
      <c r="F29" s="97" t="s">
        <v>90</v>
      </c>
      <c r="G29" s="97" t="s">
        <v>289</v>
      </c>
      <c r="H29" s="97" t="s">
        <v>338</v>
      </c>
      <c r="I29" s="97" t="s">
        <v>339</v>
      </c>
      <c r="J29" s="97" t="s">
        <v>438</v>
      </c>
      <c r="K29" s="97" t="s">
        <v>314</v>
      </c>
      <c r="L29" s="97" t="s">
        <v>439</v>
      </c>
      <c r="M29" s="97" t="s">
        <v>440</v>
      </c>
      <c r="N29" s="97">
        <v>207</v>
      </c>
      <c r="O29" s="97">
        <v>10</v>
      </c>
      <c r="P29" s="97">
        <v>22</v>
      </c>
      <c r="Q29" s="97">
        <v>45</v>
      </c>
      <c r="R29" s="97">
        <v>24</v>
      </c>
      <c r="S29" s="97">
        <v>9</v>
      </c>
      <c r="T29" s="97">
        <v>8</v>
      </c>
      <c r="U29" s="97" t="s">
        <v>131</v>
      </c>
      <c r="V29" s="97" t="s">
        <v>131</v>
      </c>
      <c r="W29" s="97" t="s">
        <v>131</v>
      </c>
      <c r="X29" s="97" t="s">
        <v>131</v>
      </c>
      <c r="Y29" s="97" t="s">
        <v>131</v>
      </c>
      <c r="Z29" s="97" t="s">
        <v>131</v>
      </c>
      <c r="AA29" s="97" t="s">
        <v>131</v>
      </c>
      <c r="AB29" s="97">
        <v>325</v>
      </c>
      <c r="AC29" s="97">
        <v>3</v>
      </c>
      <c r="AD29" s="97" t="s">
        <v>296</v>
      </c>
      <c r="AE29" s="97" t="s">
        <v>297</v>
      </c>
      <c r="AF29" s="97" t="s">
        <v>151</v>
      </c>
      <c r="AG29" s="137">
        <v>3393.6</v>
      </c>
      <c r="AH29" s="137" t="s">
        <v>576</v>
      </c>
      <c r="AI29" s="97">
        <v>0.38600000000000001</v>
      </c>
      <c r="AJ29" s="137">
        <f t="shared" si="0"/>
        <v>10.441846153846154</v>
      </c>
      <c r="AK29" s="162">
        <f t="shared" si="1"/>
        <v>3.5464206553031197</v>
      </c>
      <c r="AL29" s="137">
        <f t="shared" si="2"/>
        <v>1152.5867129735138</v>
      </c>
    </row>
    <row r="30" spans="1:38" x14ac:dyDescent="0.2">
      <c r="A30" s="169">
        <v>1E+16</v>
      </c>
      <c r="B30" s="97" t="s">
        <v>166</v>
      </c>
      <c r="C30" s="97" t="s">
        <v>299</v>
      </c>
      <c r="D30" s="97" t="s">
        <v>300</v>
      </c>
      <c r="E30" s="97" t="s">
        <v>86</v>
      </c>
      <c r="F30" s="97" t="s">
        <v>86</v>
      </c>
      <c r="G30" s="97" t="s">
        <v>289</v>
      </c>
      <c r="H30" s="97" t="s">
        <v>301</v>
      </c>
      <c r="I30" s="97" t="s">
        <v>302</v>
      </c>
      <c r="J30" s="97" t="s">
        <v>441</v>
      </c>
      <c r="K30" s="97" t="s">
        <v>304</v>
      </c>
      <c r="L30" s="97" t="s">
        <v>442</v>
      </c>
      <c r="M30" s="97" t="s">
        <v>443</v>
      </c>
      <c r="N30" s="97">
        <v>86</v>
      </c>
      <c r="O30" s="97">
        <v>5</v>
      </c>
      <c r="P30" s="97">
        <v>25</v>
      </c>
      <c r="Q30" s="97">
        <v>5</v>
      </c>
      <c r="R30" s="97">
        <v>16</v>
      </c>
      <c r="S30" s="97">
        <v>30</v>
      </c>
      <c r="T30" s="97">
        <v>4</v>
      </c>
      <c r="U30" s="97">
        <v>34</v>
      </c>
      <c r="V30" s="97" t="s">
        <v>131</v>
      </c>
      <c r="W30" s="97" t="s">
        <v>131</v>
      </c>
      <c r="X30" s="97" t="s">
        <v>131</v>
      </c>
      <c r="Y30" s="97" t="s">
        <v>131</v>
      </c>
      <c r="Z30" s="97" t="s">
        <v>131</v>
      </c>
      <c r="AA30" s="97" t="s">
        <v>131</v>
      </c>
      <c r="AB30" s="97">
        <v>205</v>
      </c>
      <c r="AC30" s="97">
        <v>3</v>
      </c>
      <c r="AD30" s="97" t="s">
        <v>296</v>
      </c>
      <c r="AE30" s="97" t="s">
        <v>297</v>
      </c>
      <c r="AF30" s="97" t="s">
        <v>162</v>
      </c>
      <c r="AG30" s="137">
        <v>8051.5</v>
      </c>
      <c r="AH30" s="137" t="s">
        <v>576</v>
      </c>
      <c r="AI30" s="97">
        <v>0.91700000000000004</v>
      </c>
      <c r="AJ30" s="137">
        <f t="shared" si="0"/>
        <v>39.275609756097559</v>
      </c>
      <c r="AK30" s="162">
        <f t="shared" si="1"/>
        <v>13.339387655825954</v>
      </c>
      <c r="AL30" s="137">
        <f t="shared" si="2"/>
        <v>2734.5744694443206</v>
      </c>
    </row>
    <row r="31" spans="1:38" x14ac:dyDescent="0.2">
      <c r="A31" s="169">
        <v>1E+16</v>
      </c>
      <c r="B31" s="97" t="s">
        <v>444</v>
      </c>
      <c r="C31" s="97" t="s">
        <v>299</v>
      </c>
      <c r="D31" s="97" t="s">
        <v>300</v>
      </c>
      <c r="E31" s="97" t="s">
        <v>85</v>
      </c>
      <c r="F31" s="97" t="s">
        <v>337</v>
      </c>
      <c r="G31" s="97" t="s">
        <v>289</v>
      </c>
      <c r="H31" s="97" t="s">
        <v>290</v>
      </c>
      <c r="I31" s="97" t="s">
        <v>291</v>
      </c>
      <c r="J31" s="97" t="s">
        <v>445</v>
      </c>
      <c r="K31" s="97" t="s">
        <v>314</v>
      </c>
      <c r="L31" s="97" t="s">
        <v>446</v>
      </c>
      <c r="M31" s="97" t="s">
        <v>447</v>
      </c>
      <c r="N31" s="97">
        <v>245</v>
      </c>
      <c r="O31" s="97">
        <v>18</v>
      </c>
      <c r="P31" s="97">
        <v>33</v>
      </c>
      <c r="Q31" s="97">
        <v>44</v>
      </c>
      <c r="R31" s="97">
        <v>30</v>
      </c>
      <c r="S31" s="97">
        <v>18</v>
      </c>
      <c r="T31" s="97">
        <v>6</v>
      </c>
      <c r="U31" s="97">
        <v>7</v>
      </c>
      <c r="V31" s="97" t="s">
        <v>131</v>
      </c>
      <c r="W31" s="97" t="s">
        <v>131</v>
      </c>
      <c r="X31" s="97" t="s">
        <v>131</v>
      </c>
      <c r="Y31" s="97" t="s">
        <v>131</v>
      </c>
      <c r="Z31" s="97" t="s">
        <v>131</v>
      </c>
      <c r="AA31" s="97" t="s">
        <v>131</v>
      </c>
      <c r="AB31" s="97">
        <v>401</v>
      </c>
      <c r="AC31" s="97">
        <v>3</v>
      </c>
      <c r="AD31" s="97" t="s">
        <v>296</v>
      </c>
      <c r="AE31" s="97" t="s">
        <v>297</v>
      </c>
      <c r="AF31" s="97" t="s">
        <v>162</v>
      </c>
      <c r="AG31" s="137">
        <v>3291.8</v>
      </c>
      <c r="AH31" s="137" t="s">
        <v>576</v>
      </c>
      <c r="AI31" s="97">
        <v>0.375</v>
      </c>
      <c r="AJ31" s="137">
        <f t="shared" si="0"/>
        <v>8.2089775561097262</v>
      </c>
      <c r="AK31" s="162">
        <f t="shared" si="1"/>
        <v>2.7880594231111084</v>
      </c>
      <c r="AL31" s="137">
        <f t="shared" si="2"/>
        <v>1118.0118286675545</v>
      </c>
    </row>
    <row r="32" spans="1:38" x14ac:dyDescent="0.2">
      <c r="A32" s="169" t="s">
        <v>448</v>
      </c>
      <c r="B32" s="97" t="s">
        <v>449</v>
      </c>
      <c r="C32" s="97" t="s">
        <v>287</v>
      </c>
      <c r="D32" s="97" t="s">
        <v>300</v>
      </c>
      <c r="E32" s="97" t="s">
        <v>85</v>
      </c>
      <c r="F32" s="97" t="s">
        <v>89</v>
      </c>
      <c r="G32" s="97" t="s">
        <v>357</v>
      </c>
      <c r="H32" s="97" t="s">
        <v>450</v>
      </c>
      <c r="I32" s="97" t="s">
        <v>451</v>
      </c>
      <c r="J32" s="97" t="s">
        <v>452</v>
      </c>
      <c r="K32" s="97" t="s">
        <v>314</v>
      </c>
      <c r="L32" s="97" t="s">
        <v>453</v>
      </c>
      <c r="M32" s="97" t="s">
        <v>454</v>
      </c>
      <c r="N32" s="97" t="s">
        <v>131</v>
      </c>
      <c r="O32" s="97" t="s">
        <v>131</v>
      </c>
      <c r="P32" s="97" t="s">
        <v>131</v>
      </c>
      <c r="Q32" s="97">
        <v>25</v>
      </c>
      <c r="R32" s="97">
        <v>224</v>
      </c>
      <c r="S32" s="97" t="s">
        <v>131</v>
      </c>
      <c r="T32" s="97">
        <v>16</v>
      </c>
      <c r="U32" s="97" t="s">
        <v>131</v>
      </c>
      <c r="V32" s="97" t="s">
        <v>131</v>
      </c>
      <c r="W32" s="97" t="s">
        <v>131</v>
      </c>
      <c r="X32" s="97" t="s">
        <v>131</v>
      </c>
      <c r="Y32" s="97">
        <v>22</v>
      </c>
      <c r="Z32" s="97" t="s">
        <v>131</v>
      </c>
      <c r="AA32" s="97" t="s">
        <v>131</v>
      </c>
      <c r="AB32" s="97">
        <v>287</v>
      </c>
      <c r="AC32" s="97">
        <v>4</v>
      </c>
      <c r="AD32" s="97" t="s">
        <v>362</v>
      </c>
      <c r="AE32" s="97" t="s">
        <v>363</v>
      </c>
      <c r="AF32" s="97" t="s">
        <v>162</v>
      </c>
      <c r="AG32" s="137">
        <v>3191.4</v>
      </c>
      <c r="AH32" s="137" t="s">
        <v>576</v>
      </c>
      <c r="AI32" s="97">
        <v>0.36299999999999999</v>
      </c>
      <c r="AJ32" s="137">
        <f t="shared" si="0"/>
        <v>11.119860627177701</v>
      </c>
      <c r="AK32" s="162">
        <f t="shared" si="1"/>
        <v>3.7766983760615109</v>
      </c>
      <c r="AL32" s="137">
        <f t="shared" si="2"/>
        <v>1083.9124339296536</v>
      </c>
    </row>
    <row r="33" spans="1:38" x14ac:dyDescent="0.2">
      <c r="A33" s="169" t="s">
        <v>455</v>
      </c>
      <c r="B33" s="97" t="s">
        <v>456</v>
      </c>
      <c r="C33" s="97" t="s">
        <v>299</v>
      </c>
      <c r="D33" s="97" t="s">
        <v>288</v>
      </c>
      <c r="E33" s="97" t="s">
        <v>85</v>
      </c>
      <c r="F33" s="97" t="s">
        <v>89</v>
      </c>
      <c r="G33" s="97" t="s">
        <v>457</v>
      </c>
      <c r="H33" s="97" t="s">
        <v>311</v>
      </c>
      <c r="I33" s="97" t="s">
        <v>458</v>
      </c>
      <c r="J33" s="97" t="s">
        <v>459</v>
      </c>
      <c r="K33" s="97" t="s">
        <v>314</v>
      </c>
      <c r="L33" s="97" t="s">
        <v>460</v>
      </c>
      <c r="M33" s="97" t="s">
        <v>461</v>
      </c>
      <c r="N33" s="97">
        <v>319</v>
      </c>
      <c r="O33" s="97">
        <v>4</v>
      </c>
      <c r="P33" s="97" t="s">
        <v>131</v>
      </c>
      <c r="Q33" s="97" t="s">
        <v>131</v>
      </c>
      <c r="R33" s="97" t="s">
        <v>131</v>
      </c>
      <c r="S33" s="97">
        <v>46</v>
      </c>
      <c r="T33" s="97" t="s">
        <v>131</v>
      </c>
      <c r="U33" s="97">
        <v>35</v>
      </c>
      <c r="V33" s="97">
        <v>8</v>
      </c>
      <c r="W33" s="97" t="s">
        <v>131</v>
      </c>
      <c r="X33" s="97" t="s">
        <v>131</v>
      </c>
      <c r="Y33" s="97">
        <v>71</v>
      </c>
      <c r="Z33" s="97">
        <v>25</v>
      </c>
      <c r="AA33" s="97" t="s">
        <v>131</v>
      </c>
      <c r="AB33" s="97">
        <v>508</v>
      </c>
      <c r="AC33" s="97">
        <v>2</v>
      </c>
      <c r="AD33" s="97" t="s">
        <v>353</v>
      </c>
      <c r="AE33" s="97" t="s">
        <v>318</v>
      </c>
      <c r="AF33" s="97" t="s">
        <v>162</v>
      </c>
      <c r="AG33" s="137">
        <v>3170.5</v>
      </c>
      <c r="AH33" s="137" t="s">
        <v>576</v>
      </c>
      <c r="AI33" s="97">
        <v>0.36099999999999999</v>
      </c>
      <c r="AJ33" s="137">
        <f t="shared" si="0"/>
        <v>6.2411417322834648</v>
      </c>
      <c r="AK33" s="162">
        <f t="shared" si="1"/>
        <v>2.1197127046247113</v>
      </c>
      <c r="AL33" s="137">
        <f t="shared" si="2"/>
        <v>1076.8140539493534</v>
      </c>
    </row>
    <row r="34" spans="1:38" x14ac:dyDescent="0.2">
      <c r="A34" s="169">
        <v>1E+16</v>
      </c>
      <c r="B34" s="97" t="s">
        <v>462</v>
      </c>
      <c r="C34" s="97" t="s">
        <v>299</v>
      </c>
      <c r="D34" s="97" t="s">
        <v>300</v>
      </c>
      <c r="E34" s="97" t="s">
        <v>86</v>
      </c>
      <c r="F34" s="97" t="s">
        <v>463</v>
      </c>
      <c r="G34" s="97" t="s">
        <v>289</v>
      </c>
      <c r="H34" s="97" t="s">
        <v>372</v>
      </c>
      <c r="I34" s="97" t="s">
        <v>464</v>
      </c>
      <c r="J34" s="97" t="s">
        <v>465</v>
      </c>
      <c r="K34" s="97" t="s">
        <v>341</v>
      </c>
      <c r="L34" s="97" t="s">
        <v>466</v>
      </c>
      <c r="M34" s="97" t="s">
        <v>467</v>
      </c>
      <c r="N34" s="97">
        <v>103</v>
      </c>
      <c r="O34" s="97">
        <v>24</v>
      </c>
      <c r="P34" s="97" t="s">
        <v>131</v>
      </c>
      <c r="Q34" s="97">
        <v>22</v>
      </c>
      <c r="R34" s="97">
        <v>16</v>
      </c>
      <c r="S34" s="97">
        <v>16</v>
      </c>
      <c r="T34" s="97">
        <v>28</v>
      </c>
      <c r="U34" s="97" t="s">
        <v>131</v>
      </c>
      <c r="V34" s="97" t="s">
        <v>131</v>
      </c>
      <c r="W34" s="97" t="s">
        <v>131</v>
      </c>
      <c r="X34" s="97" t="s">
        <v>131</v>
      </c>
      <c r="Y34" s="97" t="s">
        <v>131</v>
      </c>
      <c r="Z34" s="97" t="s">
        <v>131</v>
      </c>
      <c r="AA34" s="97" t="s">
        <v>131</v>
      </c>
      <c r="AB34" s="97">
        <v>209</v>
      </c>
      <c r="AC34" s="97">
        <v>3</v>
      </c>
      <c r="AD34" s="97" t="s">
        <v>296</v>
      </c>
      <c r="AE34" s="97" t="s">
        <v>297</v>
      </c>
      <c r="AF34" s="97" t="s">
        <v>162</v>
      </c>
      <c r="AG34" s="137">
        <v>3864.5</v>
      </c>
      <c r="AH34" s="137" t="s">
        <v>576</v>
      </c>
      <c r="AI34" s="97">
        <v>0.44</v>
      </c>
      <c r="AJ34" s="137">
        <f t="shared" si="0"/>
        <v>18.490430622009569</v>
      </c>
      <c r="AK34" s="162">
        <f t="shared" si="1"/>
        <v>6.2800049069091273</v>
      </c>
      <c r="AL34" s="137">
        <f t="shared" si="2"/>
        <v>1312.5210255440077</v>
      </c>
    </row>
    <row r="35" spans="1:38" x14ac:dyDescent="0.2">
      <c r="A35" s="169">
        <v>1.1E+16</v>
      </c>
      <c r="B35" s="97" t="s">
        <v>468</v>
      </c>
      <c r="C35" s="97" t="s">
        <v>287</v>
      </c>
      <c r="D35" s="97" t="s">
        <v>288</v>
      </c>
      <c r="E35" s="97" t="s">
        <v>85</v>
      </c>
      <c r="F35" s="97" t="s">
        <v>90</v>
      </c>
      <c r="G35" s="97" t="s">
        <v>289</v>
      </c>
      <c r="H35" s="97" t="s">
        <v>301</v>
      </c>
      <c r="I35" s="97" t="s">
        <v>302</v>
      </c>
      <c r="J35" s="97" t="s">
        <v>469</v>
      </c>
      <c r="K35" s="97" t="s">
        <v>314</v>
      </c>
      <c r="L35" s="97" t="s">
        <v>470</v>
      </c>
      <c r="M35" s="97" t="s">
        <v>471</v>
      </c>
      <c r="N35" s="97" t="s">
        <v>131</v>
      </c>
      <c r="O35" s="97" t="s">
        <v>131</v>
      </c>
      <c r="P35" s="97" t="s">
        <v>131</v>
      </c>
      <c r="Q35" s="97">
        <v>18</v>
      </c>
      <c r="R35" s="97">
        <v>309</v>
      </c>
      <c r="S35" s="97" t="s">
        <v>131</v>
      </c>
      <c r="T35" s="97">
        <v>27</v>
      </c>
      <c r="U35" s="97">
        <v>3</v>
      </c>
      <c r="V35" s="97" t="s">
        <v>131</v>
      </c>
      <c r="W35" s="97" t="s">
        <v>131</v>
      </c>
      <c r="X35" s="97" t="s">
        <v>131</v>
      </c>
      <c r="Y35" s="97" t="s">
        <v>131</v>
      </c>
      <c r="Z35" s="97" t="s">
        <v>131</v>
      </c>
      <c r="AA35" s="97" t="s">
        <v>131</v>
      </c>
      <c r="AB35" s="97">
        <v>357</v>
      </c>
      <c r="AC35" s="97">
        <v>3</v>
      </c>
      <c r="AD35" s="97" t="s">
        <v>296</v>
      </c>
      <c r="AE35" s="97" t="s">
        <v>297</v>
      </c>
      <c r="AF35" s="97" t="s">
        <v>151</v>
      </c>
      <c r="AG35" s="137">
        <v>2914</v>
      </c>
      <c r="AH35" s="137" t="s">
        <v>576</v>
      </c>
      <c r="AI35" s="97">
        <v>0.33200000000000002</v>
      </c>
      <c r="AJ35" s="137">
        <f t="shared" si="0"/>
        <v>8.1624649859943972</v>
      </c>
      <c r="AK35" s="162">
        <f t="shared" si="1"/>
        <v>2.7722621074872351</v>
      </c>
      <c r="AL35" s="137">
        <f t="shared" si="2"/>
        <v>989.697572372943</v>
      </c>
    </row>
    <row r="36" spans="1:38" x14ac:dyDescent="0.2">
      <c r="A36" s="169" t="s">
        <v>472</v>
      </c>
      <c r="B36" s="97" t="s">
        <v>473</v>
      </c>
      <c r="C36" s="97" t="s">
        <v>299</v>
      </c>
      <c r="D36" s="97" t="s">
        <v>288</v>
      </c>
      <c r="E36" s="97" t="s">
        <v>85</v>
      </c>
      <c r="F36" s="97" t="s">
        <v>89</v>
      </c>
      <c r="G36" s="97" t="s">
        <v>474</v>
      </c>
      <c r="H36" s="97" t="s">
        <v>475</v>
      </c>
      <c r="I36" s="97" t="s">
        <v>476</v>
      </c>
      <c r="J36" s="97" t="s">
        <v>477</v>
      </c>
      <c r="K36" s="97" t="s">
        <v>314</v>
      </c>
      <c r="L36" s="97" t="s">
        <v>478</v>
      </c>
      <c r="M36" s="97" t="s">
        <v>479</v>
      </c>
      <c r="N36" s="97">
        <v>111</v>
      </c>
      <c r="O36" s="97">
        <v>15</v>
      </c>
      <c r="P36" s="97">
        <v>24</v>
      </c>
      <c r="Q36" s="97">
        <v>41</v>
      </c>
      <c r="R36" s="97">
        <v>24</v>
      </c>
      <c r="S36" s="97">
        <v>8</v>
      </c>
      <c r="T36" s="97">
        <v>7</v>
      </c>
      <c r="U36" s="97">
        <v>15</v>
      </c>
      <c r="V36" s="97">
        <v>46</v>
      </c>
      <c r="W36" s="97" t="s">
        <v>131</v>
      </c>
      <c r="X36" s="97" t="s">
        <v>131</v>
      </c>
      <c r="Y36" s="97" t="s">
        <v>131</v>
      </c>
      <c r="Z36" s="97">
        <v>25</v>
      </c>
      <c r="AA36" s="97">
        <v>4</v>
      </c>
      <c r="AB36" s="97">
        <v>320</v>
      </c>
      <c r="AC36" s="97">
        <v>4</v>
      </c>
      <c r="AD36" s="97" t="s">
        <v>480</v>
      </c>
      <c r="AE36" s="97" t="s">
        <v>481</v>
      </c>
      <c r="AF36" s="97" t="s">
        <v>162</v>
      </c>
      <c r="AG36" s="137">
        <v>2823.6</v>
      </c>
      <c r="AH36" s="137" t="s">
        <v>576</v>
      </c>
      <c r="AI36" s="97">
        <v>0.32100000000000001</v>
      </c>
      <c r="AJ36" s="137">
        <f t="shared" si="0"/>
        <v>8.8237500000000004</v>
      </c>
      <c r="AK36" s="162">
        <f t="shared" si="1"/>
        <v>2.9968579115393807</v>
      </c>
      <c r="AL36" s="137">
        <f t="shared" si="2"/>
        <v>958.99453169260187</v>
      </c>
    </row>
    <row r="37" spans="1:38" x14ac:dyDescent="0.2">
      <c r="A37" s="169" t="s">
        <v>319</v>
      </c>
      <c r="B37" s="97" t="s">
        <v>482</v>
      </c>
      <c r="C37" s="97" t="s">
        <v>299</v>
      </c>
      <c r="D37" s="97" t="s">
        <v>300</v>
      </c>
      <c r="E37" s="97" t="s">
        <v>85</v>
      </c>
      <c r="F37" s="97" t="s">
        <v>90</v>
      </c>
      <c r="G37" s="97" t="s">
        <v>321</v>
      </c>
      <c r="H37" s="97" t="s">
        <v>571</v>
      </c>
      <c r="I37" s="97" t="s">
        <v>322</v>
      </c>
      <c r="J37" s="97" t="s">
        <v>483</v>
      </c>
      <c r="K37" s="97" t="s">
        <v>314</v>
      </c>
      <c r="L37" s="97" t="s">
        <v>484</v>
      </c>
      <c r="M37" s="97" t="s">
        <v>485</v>
      </c>
      <c r="N37" s="97">
        <v>89</v>
      </c>
      <c r="O37" s="97" t="s">
        <v>131</v>
      </c>
      <c r="P37" s="97">
        <v>22</v>
      </c>
      <c r="Q37" s="97">
        <v>64</v>
      </c>
      <c r="R37" s="97">
        <v>35</v>
      </c>
      <c r="S37" s="97">
        <v>6</v>
      </c>
      <c r="T37" s="97" t="s">
        <v>131</v>
      </c>
      <c r="U37" s="97" t="s">
        <v>131</v>
      </c>
      <c r="V37" s="97" t="s">
        <v>131</v>
      </c>
      <c r="W37" s="97" t="s">
        <v>131</v>
      </c>
      <c r="X37" s="97" t="s">
        <v>131</v>
      </c>
      <c r="Y37" s="97" t="s">
        <v>131</v>
      </c>
      <c r="Z37" s="97" t="s">
        <v>131</v>
      </c>
      <c r="AA37" s="97" t="s">
        <v>131</v>
      </c>
      <c r="AB37" s="97">
        <v>216</v>
      </c>
      <c r="AC37" s="97">
        <v>3</v>
      </c>
      <c r="AD37" s="97" t="s">
        <v>296</v>
      </c>
      <c r="AE37" s="97" t="s">
        <v>297</v>
      </c>
      <c r="AF37" s="97" t="s">
        <v>162</v>
      </c>
      <c r="AG37" s="137">
        <v>2710.4</v>
      </c>
      <c r="AH37" s="137" t="s">
        <v>576</v>
      </c>
      <c r="AI37" s="97">
        <v>0.309</v>
      </c>
      <c r="AJ37" s="137">
        <f t="shared" si="0"/>
        <v>12.548148148148149</v>
      </c>
      <c r="AK37" s="162">
        <f t="shared" si="1"/>
        <v>4.2617953877825201</v>
      </c>
      <c r="AL37" s="137">
        <f t="shared" si="2"/>
        <v>920.54780376102428</v>
      </c>
    </row>
    <row r="38" spans="1:38" x14ac:dyDescent="0.2">
      <c r="A38" s="169">
        <v>1E+16</v>
      </c>
      <c r="B38" s="97" t="s">
        <v>486</v>
      </c>
      <c r="C38" s="97" t="s">
        <v>299</v>
      </c>
      <c r="D38" s="97" t="s">
        <v>288</v>
      </c>
      <c r="E38" s="97" t="s">
        <v>85</v>
      </c>
      <c r="F38" s="97" t="s">
        <v>337</v>
      </c>
      <c r="G38" s="97" t="s">
        <v>289</v>
      </c>
      <c r="H38" s="97" t="s">
        <v>404</v>
      </c>
      <c r="I38" s="97" t="s">
        <v>405</v>
      </c>
      <c r="J38" s="97" t="s">
        <v>487</v>
      </c>
      <c r="K38" s="97" t="s">
        <v>304</v>
      </c>
      <c r="L38" s="97" t="s">
        <v>488</v>
      </c>
      <c r="M38" s="97" t="s">
        <v>489</v>
      </c>
      <c r="N38" s="97">
        <v>210</v>
      </c>
      <c r="O38" s="97">
        <v>76</v>
      </c>
      <c r="P38" s="97">
        <v>28</v>
      </c>
      <c r="Q38" s="97">
        <v>10</v>
      </c>
      <c r="R38" s="97">
        <v>15</v>
      </c>
      <c r="S38" s="97">
        <v>21</v>
      </c>
      <c r="T38" s="97">
        <v>12</v>
      </c>
      <c r="U38" s="97">
        <v>22</v>
      </c>
      <c r="V38" s="97" t="s">
        <v>131</v>
      </c>
      <c r="W38" s="97" t="s">
        <v>131</v>
      </c>
      <c r="X38" s="97" t="s">
        <v>131</v>
      </c>
      <c r="Y38" s="97" t="s">
        <v>131</v>
      </c>
      <c r="Z38" s="97" t="s">
        <v>131</v>
      </c>
      <c r="AA38" s="97" t="s">
        <v>131</v>
      </c>
      <c r="AB38" s="97">
        <v>394</v>
      </c>
      <c r="AC38" s="97">
        <v>3</v>
      </c>
      <c r="AD38" s="97" t="s">
        <v>296</v>
      </c>
      <c r="AE38" s="97" t="s">
        <v>297</v>
      </c>
      <c r="AF38" s="97" t="s">
        <v>162</v>
      </c>
      <c r="AG38" s="137">
        <v>2748</v>
      </c>
      <c r="AH38" s="137" t="s">
        <v>576</v>
      </c>
      <c r="AI38" s="97">
        <v>0.313</v>
      </c>
      <c r="AJ38" s="137">
        <f t="shared" si="0"/>
        <v>6.9746192893401018</v>
      </c>
      <c r="AK38" s="162">
        <f t="shared" si="1"/>
        <v>2.3688276523285516</v>
      </c>
      <c r="AL38" s="137">
        <f t="shared" si="2"/>
        <v>933.31809501744942</v>
      </c>
    </row>
    <row r="39" spans="1:38" x14ac:dyDescent="0.2">
      <c r="A39" s="169" t="s">
        <v>490</v>
      </c>
      <c r="B39" s="97" t="s">
        <v>491</v>
      </c>
      <c r="C39" s="97" t="s">
        <v>299</v>
      </c>
      <c r="D39" s="97" t="s">
        <v>288</v>
      </c>
      <c r="E39" s="97" t="s">
        <v>85</v>
      </c>
      <c r="F39" s="97" t="s">
        <v>90</v>
      </c>
      <c r="G39" s="97" t="s">
        <v>321</v>
      </c>
      <c r="H39" s="97" t="s">
        <v>492</v>
      </c>
      <c r="I39" s="97" t="s">
        <v>493</v>
      </c>
      <c r="J39" s="97" t="s">
        <v>494</v>
      </c>
      <c r="K39" s="97" t="s">
        <v>293</v>
      </c>
      <c r="L39" s="97" t="s">
        <v>495</v>
      </c>
      <c r="M39" s="97" t="s">
        <v>496</v>
      </c>
      <c r="N39" s="97">
        <v>164</v>
      </c>
      <c r="O39" s="97">
        <v>30</v>
      </c>
      <c r="P39" s="97" t="s">
        <v>131</v>
      </c>
      <c r="Q39" s="97" t="s">
        <v>131</v>
      </c>
      <c r="R39" s="97" t="s">
        <v>131</v>
      </c>
      <c r="S39" s="97">
        <v>20</v>
      </c>
      <c r="T39" s="97" t="s">
        <v>131</v>
      </c>
      <c r="U39" s="97">
        <v>4</v>
      </c>
      <c r="V39" s="97" t="s">
        <v>131</v>
      </c>
      <c r="W39" s="97" t="s">
        <v>131</v>
      </c>
      <c r="X39" s="97" t="s">
        <v>131</v>
      </c>
      <c r="Y39" s="97" t="s">
        <v>131</v>
      </c>
      <c r="Z39" s="97" t="s">
        <v>131</v>
      </c>
      <c r="AA39" s="97" t="s">
        <v>131</v>
      </c>
      <c r="AB39" s="97">
        <v>218</v>
      </c>
      <c r="AC39" s="97">
        <v>3</v>
      </c>
      <c r="AD39" s="97" t="s">
        <v>296</v>
      </c>
      <c r="AE39" s="97" t="s">
        <v>297</v>
      </c>
      <c r="AF39" s="97" t="s">
        <v>162</v>
      </c>
      <c r="AG39" s="137">
        <v>2803.7</v>
      </c>
      <c r="AH39" s="137" t="s">
        <v>576</v>
      </c>
      <c r="AI39" s="97">
        <v>0.31900000000000001</v>
      </c>
      <c r="AJ39" s="137">
        <f t="shared" si="0"/>
        <v>12.861009174311926</v>
      </c>
      <c r="AK39" s="162">
        <f t="shared" si="1"/>
        <v>4.3680540693488883</v>
      </c>
      <c r="AL39" s="137">
        <f t="shared" si="2"/>
        <v>952.23578711805771</v>
      </c>
    </row>
    <row r="40" spans="1:38" x14ac:dyDescent="0.2">
      <c r="A40" s="169">
        <v>1E+16</v>
      </c>
      <c r="B40" s="97" t="s">
        <v>497</v>
      </c>
      <c r="C40" s="97" t="s">
        <v>299</v>
      </c>
      <c r="D40" s="97" t="s">
        <v>300</v>
      </c>
      <c r="E40" s="97" t="s">
        <v>85</v>
      </c>
      <c r="F40" s="97" t="s">
        <v>90</v>
      </c>
      <c r="G40" s="97" t="s">
        <v>289</v>
      </c>
      <c r="H40" s="97" t="s">
        <v>410</v>
      </c>
      <c r="I40" s="97" t="s">
        <v>411</v>
      </c>
      <c r="J40" s="97" t="s">
        <v>498</v>
      </c>
      <c r="K40" s="97" t="s">
        <v>304</v>
      </c>
      <c r="L40" s="97" t="s">
        <v>499</v>
      </c>
      <c r="M40" s="97" t="s">
        <v>500</v>
      </c>
      <c r="N40" s="97">
        <v>360</v>
      </c>
      <c r="O40" s="97" t="s">
        <v>131</v>
      </c>
      <c r="P40" s="97">
        <v>24</v>
      </c>
      <c r="Q40" s="97">
        <v>13</v>
      </c>
      <c r="R40" s="97">
        <v>24</v>
      </c>
      <c r="S40" s="97">
        <v>13</v>
      </c>
      <c r="T40" s="97" t="s">
        <v>131</v>
      </c>
      <c r="U40" s="97">
        <v>14</v>
      </c>
      <c r="V40" s="97" t="s">
        <v>131</v>
      </c>
      <c r="W40" s="97" t="s">
        <v>131</v>
      </c>
      <c r="X40" s="97" t="s">
        <v>131</v>
      </c>
      <c r="Y40" s="97" t="s">
        <v>131</v>
      </c>
      <c r="Z40" s="97" t="s">
        <v>131</v>
      </c>
      <c r="AA40" s="97" t="s">
        <v>131</v>
      </c>
      <c r="AB40" s="97">
        <v>448</v>
      </c>
      <c r="AC40" s="97">
        <v>3</v>
      </c>
      <c r="AD40" s="97" t="s">
        <v>296</v>
      </c>
      <c r="AE40" s="97" t="s">
        <v>297</v>
      </c>
      <c r="AF40" s="97" t="s">
        <v>151</v>
      </c>
      <c r="AG40" s="137">
        <v>2678.9</v>
      </c>
      <c r="AH40" s="137" t="s">
        <v>576</v>
      </c>
      <c r="AI40" s="97">
        <v>0.30499999999999999</v>
      </c>
      <c r="AJ40" s="137">
        <f t="shared" si="0"/>
        <v>5.9796874999999998</v>
      </c>
      <c r="AK40" s="162">
        <f t="shared" si="1"/>
        <v>2.0309135903564974</v>
      </c>
      <c r="AL40" s="137">
        <f t="shared" si="2"/>
        <v>909.84928847971082</v>
      </c>
    </row>
    <row r="41" spans="1:38" x14ac:dyDescent="0.2">
      <c r="A41" s="169" t="s">
        <v>501</v>
      </c>
      <c r="B41" s="97" t="s">
        <v>502</v>
      </c>
      <c r="C41" s="97" t="s">
        <v>299</v>
      </c>
      <c r="D41" s="97" t="s">
        <v>300</v>
      </c>
      <c r="E41" s="97" t="s">
        <v>85</v>
      </c>
      <c r="F41" s="97" t="s">
        <v>89</v>
      </c>
      <c r="G41" s="97" t="s">
        <v>357</v>
      </c>
      <c r="H41" s="97" t="s">
        <v>311</v>
      </c>
      <c r="I41" s="97" t="s">
        <v>503</v>
      </c>
      <c r="J41" s="97" t="s">
        <v>504</v>
      </c>
      <c r="K41" s="97" t="s">
        <v>314</v>
      </c>
      <c r="L41" s="97" t="s">
        <v>505</v>
      </c>
      <c r="M41" s="97" t="s">
        <v>506</v>
      </c>
      <c r="N41" s="97">
        <v>145</v>
      </c>
      <c r="O41" s="97">
        <v>15</v>
      </c>
      <c r="P41" s="97">
        <v>98</v>
      </c>
      <c r="Q41" s="97">
        <v>50</v>
      </c>
      <c r="R41" s="97" t="s">
        <v>131</v>
      </c>
      <c r="S41" s="97">
        <v>23</v>
      </c>
      <c r="T41" s="97" t="s">
        <v>131</v>
      </c>
      <c r="U41" s="97">
        <v>6</v>
      </c>
      <c r="V41" s="97" t="s">
        <v>131</v>
      </c>
      <c r="W41" s="97" t="s">
        <v>131</v>
      </c>
      <c r="X41" s="97" t="s">
        <v>131</v>
      </c>
      <c r="Y41" s="97" t="s">
        <v>131</v>
      </c>
      <c r="Z41" s="97" t="s">
        <v>131</v>
      </c>
      <c r="AA41" s="97" t="s">
        <v>131</v>
      </c>
      <c r="AB41" s="97">
        <v>337</v>
      </c>
      <c r="AC41" s="97">
        <v>4</v>
      </c>
      <c r="AD41" s="97" t="s">
        <v>362</v>
      </c>
      <c r="AE41" s="97" t="s">
        <v>363</v>
      </c>
      <c r="AF41" s="97" t="s">
        <v>162</v>
      </c>
      <c r="AG41" s="137">
        <v>2655.2</v>
      </c>
      <c r="AH41" s="137" t="s">
        <v>576</v>
      </c>
      <c r="AI41" s="97">
        <v>0.30199999999999999</v>
      </c>
      <c r="AJ41" s="137">
        <f t="shared" si="0"/>
        <v>7.878931750741839</v>
      </c>
      <c r="AK41" s="162">
        <f t="shared" si="1"/>
        <v>2.6759641820869251</v>
      </c>
      <c r="AL41" s="137">
        <f t="shared" si="2"/>
        <v>901.79992936329381</v>
      </c>
    </row>
    <row r="42" spans="1:38" x14ac:dyDescent="0.2">
      <c r="A42" s="169" t="s">
        <v>507</v>
      </c>
      <c r="B42" s="97" t="s">
        <v>508</v>
      </c>
      <c r="C42" s="97" t="s">
        <v>299</v>
      </c>
      <c r="D42" s="97" t="s">
        <v>300</v>
      </c>
      <c r="E42" s="97" t="s">
        <v>86</v>
      </c>
      <c r="F42" s="97" t="s">
        <v>86</v>
      </c>
      <c r="G42" s="97" t="s">
        <v>509</v>
      </c>
      <c r="H42" s="97" t="s">
        <v>510</v>
      </c>
      <c r="I42" s="97" t="s">
        <v>510</v>
      </c>
      <c r="J42" s="97" t="s">
        <v>511</v>
      </c>
      <c r="K42" s="97" t="s">
        <v>314</v>
      </c>
      <c r="L42" s="97" t="s">
        <v>512</v>
      </c>
      <c r="M42" s="97" t="s">
        <v>513</v>
      </c>
      <c r="N42" s="97">
        <v>60</v>
      </c>
      <c r="O42" s="97">
        <v>9</v>
      </c>
      <c r="P42" s="97" t="s">
        <v>131</v>
      </c>
      <c r="Q42" s="97" t="s">
        <v>131</v>
      </c>
      <c r="R42" s="97" t="s">
        <v>131</v>
      </c>
      <c r="S42" s="97">
        <v>15</v>
      </c>
      <c r="T42" s="97" t="s">
        <v>131</v>
      </c>
      <c r="U42" s="97" t="s">
        <v>131</v>
      </c>
      <c r="V42" s="97" t="s">
        <v>131</v>
      </c>
      <c r="W42" s="97">
        <v>4</v>
      </c>
      <c r="X42" s="97" t="s">
        <v>131</v>
      </c>
      <c r="Y42" s="97" t="s">
        <v>131</v>
      </c>
      <c r="Z42" s="97" t="s">
        <v>131</v>
      </c>
      <c r="AA42" s="97" t="s">
        <v>131</v>
      </c>
      <c r="AB42" s="97">
        <v>88</v>
      </c>
      <c r="AC42" s="97">
        <v>3</v>
      </c>
      <c r="AD42" s="97" t="s">
        <v>317</v>
      </c>
      <c r="AE42" s="97" t="s">
        <v>297</v>
      </c>
      <c r="AF42" s="97" t="s">
        <v>162</v>
      </c>
      <c r="AG42" s="137">
        <v>3380.4</v>
      </c>
      <c r="AH42" s="137" t="s">
        <v>576</v>
      </c>
      <c r="AI42" s="97">
        <v>0.38500000000000001</v>
      </c>
      <c r="AJ42" s="137">
        <f t="shared" si="0"/>
        <v>38.413636363636364</v>
      </c>
      <c r="AK42" s="162">
        <f t="shared" si="1"/>
        <v>13.046630972926533</v>
      </c>
      <c r="AL42" s="137">
        <f t="shared" si="2"/>
        <v>1148.1035256175348</v>
      </c>
    </row>
    <row r="43" spans="1:38" x14ac:dyDescent="0.2">
      <c r="A43" s="169" t="s">
        <v>415</v>
      </c>
      <c r="B43" s="97" t="s">
        <v>514</v>
      </c>
      <c r="C43" s="97" t="s">
        <v>299</v>
      </c>
      <c r="D43" s="97" t="s">
        <v>300</v>
      </c>
      <c r="E43" s="97" t="s">
        <v>86</v>
      </c>
      <c r="F43" s="97" t="s">
        <v>86</v>
      </c>
      <c r="G43" s="97" t="s">
        <v>321</v>
      </c>
      <c r="H43" s="97" t="s">
        <v>417</v>
      </c>
      <c r="I43" s="97" t="s">
        <v>515</v>
      </c>
      <c r="J43" s="97" t="s">
        <v>516</v>
      </c>
      <c r="K43" s="97" t="s">
        <v>314</v>
      </c>
      <c r="L43" s="97" t="s">
        <v>517</v>
      </c>
      <c r="M43" s="97" t="s">
        <v>518</v>
      </c>
      <c r="N43" s="97">
        <v>51</v>
      </c>
      <c r="O43" s="97">
        <v>4</v>
      </c>
      <c r="P43" s="97" t="s">
        <v>131</v>
      </c>
      <c r="Q43" s="97">
        <v>15</v>
      </c>
      <c r="R43" s="97" t="s">
        <v>131</v>
      </c>
      <c r="S43" s="97">
        <v>7</v>
      </c>
      <c r="T43" s="97" t="s">
        <v>131</v>
      </c>
      <c r="U43" s="97" t="s">
        <v>131</v>
      </c>
      <c r="V43" s="97" t="s">
        <v>131</v>
      </c>
      <c r="W43" s="97" t="s">
        <v>131</v>
      </c>
      <c r="X43" s="97" t="s">
        <v>131</v>
      </c>
      <c r="Y43" s="97" t="s">
        <v>131</v>
      </c>
      <c r="Z43" s="97" t="s">
        <v>131</v>
      </c>
      <c r="AA43" s="97" t="s">
        <v>131</v>
      </c>
      <c r="AB43" s="97">
        <v>77</v>
      </c>
      <c r="AC43" s="97">
        <v>3</v>
      </c>
      <c r="AD43" s="97" t="s">
        <v>296</v>
      </c>
      <c r="AE43" s="97" t="s">
        <v>297</v>
      </c>
      <c r="AF43" s="97"/>
      <c r="AG43" s="99">
        <v>401.46300000000002</v>
      </c>
      <c r="AH43" s="163" t="s">
        <v>578</v>
      </c>
      <c r="AI43" s="97"/>
      <c r="AJ43" s="137">
        <f t="shared" si="0"/>
        <v>5.2138051948051949</v>
      </c>
      <c r="AK43" s="162">
        <f t="shared" si="1"/>
        <v>1.7707928428703297</v>
      </c>
      <c r="AL43" s="137">
        <f t="shared" si="2"/>
        <v>136.35104890101539</v>
      </c>
    </row>
    <row r="44" spans="1:38" x14ac:dyDescent="0.2">
      <c r="A44" s="169" t="s">
        <v>519</v>
      </c>
      <c r="B44" s="97" t="s">
        <v>520</v>
      </c>
      <c r="C44" s="97" t="s">
        <v>299</v>
      </c>
      <c r="D44" s="97" t="s">
        <v>300</v>
      </c>
      <c r="E44" s="97" t="s">
        <v>86</v>
      </c>
      <c r="F44" s="97" t="s">
        <v>86</v>
      </c>
      <c r="G44" s="97" t="s">
        <v>321</v>
      </c>
      <c r="H44" s="97" t="s">
        <v>521</v>
      </c>
      <c r="I44" s="97" t="s">
        <v>522</v>
      </c>
      <c r="J44" s="97" t="s">
        <v>523</v>
      </c>
      <c r="K44" s="97" t="s">
        <v>341</v>
      </c>
      <c r="L44" s="97" t="s">
        <v>524</v>
      </c>
      <c r="M44" s="97" t="s">
        <v>525</v>
      </c>
      <c r="N44" s="97" t="s">
        <v>131</v>
      </c>
      <c r="O44" s="97" t="s">
        <v>131</v>
      </c>
      <c r="P44" s="97" t="s">
        <v>131</v>
      </c>
      <c r="Q44" s="97" t="s">
        <v>131</v>
      </c>
      <c r="R44" s="97" t="s">
        <v>131</v>
      </c>
      <c r="S44" s="97" t="s">
        <v>131</v>
      </c>
      <c r="T44" s="97" t="s">
        <v>131</v>
      </c>
      <c r="U44" s="97" t="s">
        <v>131</v>
      </c>
      <c r="V44" s="97" t="s">
        <v>131</v>
      </c>
      <c r="W44" s="97" t="s">
        <v>131</v>
      </c>
      <c r="X44" s="97" t="s">
        <v>131</v>
      </c>
      <c r="Y44" s="97" t="s">
        <v>131</v>
      </c>
      <c r="Z44" s="97" t="s">
        <v>131</v>
      </c>
      <c r="AA44" s="97" t="s">
        <v>131</v>
      </c>
      <c r="AB44" s="102">
        <v>219</v>
      </c>
      <c r="AC44" s="97">
        <v>4</v>
      </c>
      <c r="AD44" s="97" t="s">
        <v>526</v>
      </c>
      <c r="AE44" s="97" t="s">
        <v>297</v>
      </c>
      <c r="AF44" s="97" t="s">
        <v>162</v>
      </c>
      <c r="AG44" s="137">
        <v>2962.6</v>
      </c>
      <c r="AH44" s="137" t="s">
        <v>576</v>
      </c>
      <c r="AI44" s="97">
        <v>0.33700000000000002</v>
      </c>
      <c r="AJ44" s="137">
        <f t="shared" si="0"/>
        <v>13.527853881278538</v>
      </c>
      <c r="AK44" s="162">
        <f t="shared" si="1"/>
        <v>4.5945381419757263</v>
      </c>
      <c r="AL44" s="137">
        <f t="shared" si="2"/>
        <v>1006.203853092684</v>
      </c>
    </row>
    <row r="45" spans="1:38" x14ac:dyDescent="0.2">
      <c r="A45" s="169">
        <v>1E+16</v>
      </c>
      <c r="B45" s="97" t="s">
        <v>527</v>
      </c>
      <c r="C45" s="97" t="s">
        <v>299</v>
      </c>
      <c r="D45" s="97" t="s">
        <v>300</v>
      </c>
      <c r="E45" s="97" t="s">
        <v>86</v>
      </c>
      <c r="F45" s="97" t="s">
        <v>86</v>
      </c>
      <c r="G45" s="97" t="s">
        <v>289</v>
      </c>
      <c r="H45" s="97" t="s">
        <v>290</v>
      </c>
      <c r="I45" s="97" t="s">
        <v>378</v>
      </c>
      <c r="J45" s="97" t="s">
        <v>528</v>
      </c>
      <c r="K45" s="97" t="s">
        <v>304</v>
      </c>
      <c r="L45" s="97" t="s">
        <v>529</v>
      </c>
      <c r="M45" s="97" t="s">
        <v>530</v>
      </c>
      <c r="N45" s="97">
        <v>168</v>
      </c>
      <c r="O45" s="97">
        <v>4</v>
      </c>
      <c r="P45" s="97">
        <v>18</v>
      </c>
      <c r="Q45" s="97">
        <v>10</v>
      </c>
      <c r="R45" s="97">
        <v>8</v>
      </c>
      <c r="S45" s="97">
        <v>37</v>
      </c>
      <c r="T45" s="97">
        <v>4</v>
      </c>
      <c r="U45" s="97" t="s">
        <v>131</v>
      </c>
      <c r="V45" s="97" t="s">
        <v>131</v>
      </c>
      <c r="W45" s="97" t="s">
        <v>131</v>
      </c>
      <c r="X45" s="97" t="s">
        <v>131</v>
      </c>
      <c r="Y45" s="97" t="s">
        <v>131</v>
      </c>
      <c r="Z45" s="97" t="s">
        <v>131</v>
      </c>
      <c r="AA45" s="97" t="s">
        <v>131</v>
      </c>
      <c r="AB45" s="97">
        <v>249</v>
      </c>
      <c r="AC45" s="97">
        <v>3</v>
      </c>
      <c r="AD45" s="97" t="s">
        <v>296</v>
      </c>
      <c r="AE45" s="97" t="s">
        <v>297</v>
      </c>
      <c r="AF45" s="97" t="s">
        <v>162</v>
      </c>
      <c r="AG45" s="137">
        <v>6820.8</v>
      </c>
      <c r="AH45" s="137" t="s">
        <v>576</v>
      </c>
      <c r="AI45" s="97">
        <v>0.77700000000000002</v>
      </c>
      <c r="AJ45" s="137">
        <f t="shared" si="0"/>
        <v>27.392771084337351</v>
      </c>
      <c r="AK45" s="162">
        <f t="shared" si="1"/>
        <v>9.303554922009754</v>
      </c>
      <c r="AL45" s="137">
        <f t="shared" si="2"/>
        <v>2316.5851755804288</v>
      </c>
    </row>
    <row r="46" spans="1:38" x14ac:dyDescent="0.2">
      <c r="A46" s="169">
        <v>1E+16</v>
      </c>
      <c r="B46" s="97" t="s">
        <v>531</v>
      </c>
      <c r="C46" s="97" t="s">
        <v>299</v>
      </c>
      <c r="D46" s="97" t="s">
        <v>300</v>
      </c>
      <c r="E46" s="97" t="s">
        <v>85</v>
      </c>
      <c r="F46" s="97" t="s">
        <v>90</v>
      </c>
      <c r="G46" s="97" t="s">
        <v>289</v>
      </c>
      <c r="H46" s="97" t="s">
        <v>532</v>
      </c>
      <c r="I46" s="97" t="s">
        <v>533</v>
      </c>
      <c r="J46" s="97" t="s">
        <v>534</v>
      </c>
      <c r="K46" s="97" t="s">
        <v>314</v>
      </c>
      <c r="L46" s="97" t="s">
        <v>535</v>
      </c>
      <c r="M46" s="97" t="s">
        <v>536</v>
      </c>
      <c r="N46" s="97">
        <v>162</v>
      </c>
      <c r="O46" s="97">
        <v>16</v>
      </c>
      <c r="P46" s="97" t="s">
        <v>131</v>
      </c>
      <c r="Q46" s="97" t="s">
        <v>131</v>
      </c>
      <c r="R46" s="97" t="s">
        <v>131</v>
      </c>
      <c r="S46" s="97">
        <v>14</v>
      </c>
      <c r="T46" s="97" t="s">
        <v>131</v>
      </c>
      <c r="U46" s="97">
        <v>132</v>
      </c>
      <c r="V46" s="97" t="s">
        <v>131</v>
      </c>
      <c r="W46" s="97" t="s">
        <v>131</v>
      </c>
      <c r="X46" s="97" t="s">
        <v>131</v>
      </c>
      <c r="Y46" s="97" t="s">
        <v>131</v>
      </c>
      <c r="Z46" s="97" t="s">
        <v>131</v>
      </c>
      <c r="AA46" s="97" t="s">
        <v>131</v>
      </c>
      <c r="AB46" s="97">
        <v>324</v>
      </c>
      <c r="AC46" s="97">
        <v>3</v>
      </c>
      <c r="AD46" s="97" t="s">
        <v>296</v>
      </c>
      <c r="AE46" s="97" t="s">
        <v>297</v>
      </c>
      <c r="AF46" s="97"/>
      <c r="AG46" s="99">
        <v>1098.7260000000001</v>
      </c>
      <c r="AH46" s="163" t="s">
        <v>579</v>
      </c>
      <c r="AI46" s="97"/>
      <c r="AJ46" s="137">
        <f t="shared" si="0"/>
        <v>3.39112962962963</v>
      </c>
      <c r="AK46" s="162">
        <f t="shared" si="1"/>
        <v>1.1517476877304058</v>
      </c>
      <c r="AL46" s="137">
        <f t="shared" si="2"/>
        <v>373.16625082465146</v>
      </c>
    </row>
    <row r="47" spans="1:38" x14ac:dyDescent="0.2">
      <c r="A47" s="169">
        <v>1.4E+16</v>
      </c>
      <c r="B47" s="97" t="s">
        <v>537</v>
      </c>
      <c r="C47" s="97" t="s">
        <v>309</v>
      </c>
      <c r="D47" s="97" t="s">
        <v>288</v>
      </c>
      <c r="E47" s="97" t="s">
        <v>86</v>
      </c>
      <c r="F47" s="97" t="s">
        <v>86</v>
      </c>
      <c r="G47" s="97" t="s">
        <v>289</v>
      </c>
      <c r="H47" s="97" t="s">
        <v>538</v>
      </c>
      <c r="I47" s="97" t="s">
        <v>539</v>
      </c>
      <c r="J47" s="97" t="s">
        <v>540</v>
      </c>
      <c r="K47" s="97" t="s">
        <v>304</v>
      </c>
      <c r="L47" s="97" t="s">
        <v>541</v>
      </c>
      <c r="M47" s="97" t="s">
        <v>542</v>
      </c>
      <c r="N47" s="97">
        <v>176</v>
      </c>
      <c r="O47" s="97">
        <v>12</v>
      </c>
      <c r="P47" s="97" t="s">
        <v>131</v>
      </c>
      <c r="Q47" s="97" t="s">
        <v>131</v>
      </c>
      <c r="R47" s="97" t="s">
        <v>131</v>
      </c>
      <c r="S47" s="97">
        <v>46</v>
      </c>
      <c r="T47" s="97">
        <v>7</v>
      </c>
      <c r="U47" s="97">
        <v>7</v>
      </c>
      <c r="V47" s="97">
        <v>4</v>
      </c>
      <c r="W47" s="97" t="s">
        <v>131</v>
      </c>
      <c r="X47" s="97" t="s">
        <v>131</v>
      </c>
      <c r="Y47" s="97" t="s">
        <v>131</v>
      </c>
      <c r="Z47" s="97" t="s">
        <v>131</v>
      </c>
      <c r="AA47" s="97" t="s">
        <v>131</v>
      </c>
      <c r="AB47" s="97">
        <v>252</v>
      </c>
      <c r="AC47" s="97">
        <v>3</v>
      </c>
      <c r="AD47" s="97" t="s">
        <v>296</v>
      </c>
      <c r="AE47" s="97" t="s">
        <v>297</v>
      </c>
      <c r="AF47" s="97" t="s">
        <v>162</v>
      </c>
      <c r="AG47" s="137">
        <v>7343.6</v>
      </c>
      <c r="AH47" s="137" t="s">
        <v>576</v>
      </c>
      <c r="AI47" s="97">
        <v>0.83599999999999997</v>
      </c>
      <c r="AJ47" s="137">
        <f t="shared" si="0"/>
        <v>29.141269841269843</v>
      </c>
      <c r="AK47" s="162">
        <f t="shared" si="1"/>
        <v>9.8974070067843574</v>
      </c>
      <c r="AL47" s="137">
        <f t="shared" si="2"/>
        <v>2494.1465657096583</v>
      </c>
    </row>
    <row r="48" spans="1:38" x14ac:dyDescent="0.2">
      <c r="A48" s="169" t="s">
        <v>330</v>
      </c>
      <c r="B48" s="97" t="s">
        <v>543</v>
      </c>
      <c r="C48" s="97" t="s">
        <v>299</v>
      </c>
      <c r="D48" s="97" t="s">
        <v>300</v>
      </c>
      <c r="E48" s="97" t="s">
        <v>86</v>
      </c>
      <c r="F48" s="97" t="s">
        <v>86</v>
      </c>
      <c r="G48" s="97" t="s">
        <v>572</v>
      </c>
      <c r="H48" s="97" t="s">
        <v>311</v>
      </c>
      <c r="I48" s="97" t="s">
        <v>332</v>
      </c>
      <c r="J48" s="97" t="s">
        <v>544</v>
      </c>
      <c r="K48" s="97" t="s">
        <v>293</v>
      </c>
      <c r="L48" s="97" t="s">
        <v>545</v>
      </c>
      <c r="M48" s="97" t="s">
        <v>546</v>
      </c>
      <c r="N48" s="97">
        <v>212</v>
      </c>
      <c r="O48" s="97">
        <v>14</v>
      </c>
      <c r="P48" s="97" t="s">
        <v>131</v>
      </c>
      <c r="Q48" s="97">
        <v>16</v>
      </c>
      <c r="R48" s="97" t="s">
        <v>131</v>
      </c>
      <c r="S48" s="97">
        <v>9</v>
      </c>
      <c r="T48" s="97">
        <v>8</v>
      </c>
      <c r="U48" s="97" t="s">
        <v>131</v>
      </c>
      <c r="V48" s="97" t="s">
        <v>131</v>
      </c>
      <c r="W48" s="97" t="s">
        <v>131</v>
      </c>
      <c r="X48" s="97" t="s">
        <v>131</v>
      </c>
      <c r="Y48" s="97" t="s">
        <v>131</v>
      </c>
      <c r="Z48" s="97" t="s">
        <v>131</v>
      </c>
      <c r="AA48" s="97" t="s">
        <v>131</v>
      </c>
      <c r="AB48" s="97">
        <v>259</v>
      </c>
      <c r="AC48" s="97">
        <v>3</v>
      </c>
      <c r="AD48" s="97" t="s">
        <v>317</v>
      </c>
      <c r="AE48" s="97" t="s">
        <v>297</v>
      </c>
      <c r="AF48" s="97" t="s">
        <v>162</v>
      </c>
      <c r="AG48" s="137">
        <v>4191.7</v>
      </c>
      <c r="AH48" s="137" t="s">
        <v>576</v>
      </c>
      <c r="AI48" s="97">
        <v>0.47699999999999998</v>
      </c>
      <c r="AJ48" s="137">
        <f t="shared" si="0"/>
        <v>16.184169884169883</v>
      </c>
      <c r="AK48" s="162">
        <f t="shared" si="1"/>
        <v>5.496717105433846</v>
      </c>
      <c r="AL48" s="137">
        <f t="shared" si="2"/>
        <v>1423.6497303073661</v>
      </c>
    </row>
    <row r="49" spans="1:38" x14ac:dyDescent="0.2">
      <c r="A49" s="169" t="s">
        <v>547</v>
      </c>
      <c r="B49" s="97" t="s">
        <v>548</v>
      </c>
      <c r="C49" s="97" t="s">
        <v>299</v>
      </c>
      <c r="D49" s="97" t="s">
        <v>288</v>
      </c>
      <c r="E49" s="97" t="s">
        <v>85</v>
      </c>
      <c r="F49" s="97" t="s">
        <v>89</v>
      </c>
      <c r="G49" s="97" t="s">
        <v>549</v>
      </c>
      <c r="H49" s="97" t="s">
        <v>311</v>
      </c>
      <c r="I49" s="97" t="s">
        <v>550</v>
      </c>
      <c r="J49" s="97" t="s">
        <v>551</v>
      </c>
      <c r="K49" s="97" t="s">
        <v>314</v>
      </c>
      <c r="L49" s="97" t="s">
        <v>552</v>
      </c>
      <c r="M49" s="97" t="s">
        <v>553</v>
      </c>
      <c r="N49" s="97">
        <v>191</v>
      </c>
      <c r="O49" s="97">
        <v>20</v>
      </c>
      <c r="P49" s="97">
        <v>110</v>
      </c>
      <c r="Q49" s="97">
        <v>52</v>
      </c>
      <c r="R49" s="97">
        <v>92</v>
      </c>
      <c r="S49" s="97">
        <v>34</v>
      </c>
      <c r="T49" s="97">
        <v>12</v>
      </c>
      <c r="U49" s="97">
        <v>62</v>
      </c>
      <c r="V49" s="97" t="s">
        <v>131</v>
      </c>
      <c r="W49" s="97" t="s">
        <v>131</v>
      </c>
      <c r="X49" s="97">
        <v>12</v>
      </c>
      <c r="Y49" s="97" t="s">
        <v>131</v>
      </c>
      <c r="Z49" s="97" t="s">
        <v>131</v>
      </c>
      <c r="AA49" s="97" t="s">
        <v>131</v>
      </c>
      <c r="AB49" s="97">
        <v>585</v>
      </c>
      <c r="AC49" s="97">
        <v>3</v>
      </c>
      <c r="AD49" s="97" t="s">
        <v>317</v>
      </c>
      <c r="AE49" s="97" t="s">
        <v>363</v>
      </c>
      <c r="AF49" s="97" t="s">
        <v>162</v>
      </c>
      <c r="AG49" s="137">
        <v>6954</v>
      </c>
      <c r="AH49" s="137" t="s">
        <v>576</v>
      </c>
      <c r="AI49" s="97">
        <v>0.79200000000000004</v>
      </c>
      <c r="AJ49" s="137">
        <f t="shared" si="0"/>
        <v>11.887179487179488</v>
      </c>
      <c r="AK49" s="162">
        <f t="shared" si="1"/>
        <v>4.0373070284224379</v>
      </c>
      <c r="AL49" s="137">
        <f t="shared" si="2"/>
        <v>2361.8246116271262</v>
      </c>
    </row>
    <row r="50" spans="1:38" ht="24" x14ac:dyDescent="0.2">
      <c r="A50" s="169" t="s">
        <v>554</v>
      </c>
      <c r="B50" s="97" t="s">
        <v>555</v>
      </c>
      <c r="C50" s="97" t="s">
        <v>299</v>
      </c>
      <c r="D50" s="97" t="s">
        <v>586</v>
      </c>
      <c r="E50" s="97" t="s">
        <v>85</v>
      </c>
      <c r="F50" s="97" t="s">
        <v>89</v>
      </c>
      <c r="G50" s="97" t="s">
        <v>549</v>
      </c>
      <c r="H50" s="97" t="s">
        <v>575</v>
      </c>
      <c r="I50" s="97" t="s">
        <v>556</v>
      </c>
      <c r="J50" s="97" t="s">
        <v>557</v>
      </c>
      <c r="K50" s="97" t="s">
        <v>314</v>
      </c>
      <c r="L50" s="97" t="s">
        <v>558</v>
      </c>
      <c r="M50" s="97" t="s">
        <v>559</v>
      </c>
      <c r="N50" s="97">
        <v>24</v>
      </c>
      <c r="O50" s="97" t="s">
        <v>131</v>
      </c>
      <c r="P50" s="97" t="s">
        <v>131</v>
      </c>
      <c r="Q50" s="97" t="s">
        <v>131</v>
      </c>
      <c r="R50" s="97" t="s">
        <v>131</v>
      </c>
      <c r="S50" s="97" t="s">
        <v>131</v>
      </c>
      <c r="T50" s="97" t="s">
        <v>131</v>
      </c>
      <c r="U50" s="97" t="s">
        <v>131</v>
      </c>
      <c r="V50" s="97">
        <v>24</v>
      </c>
      <c r="W50" s="97" t="s">
        <v>131</v>
      </c>
      <c r="X50" s="97" t="s">
        <v>131</v>
      </c>
      <c r="Y50" s="97" t="s">
        <v>131</v>
      </c>
      <c r="Z50" s="97" t="s">
        <v>131</v>
      </c>
      <c r="AA50" s="97" t="s">
        <v>131</v>
      </c>
      <c r="AB50" s="97">
        <v>48</v>
      </c>
      <c r="AC50" s="97">
        <v>3</v>
      </c>
      <c r="AD50" s="97" t="s">
        <v>317</v>
      </c>
      <c r="AE50" s="97" t="s">
        <v>363</v>
      </c>
      <c r="AF50" s="97"/>
      <c r="AG50" s="99">
        <v>495.64299999999997</v>
      </c>
      <c r="AH50" s="163" t="s">
        <v>580</v>
      </c>
      <c r="AI50" s="97"/>
      <c r="AJ50" s="137">
        <f t="shared" si="0"/>
        <v>10.325895833333332</v>
      </c>
      <c r="AK50" s="162">
        <f t="shared" si="1"/>
        <v>3.507039821148211</v>
      </c>
      <c r="AL50" s="137">
        <f t="shared" si="2"/>
        <v>168.33791141511412</v>
      </c>
    </row>
    <row r="51" spans="1:38" x14ac:dyDescent="0.2">
      <c r="AF51" s="164" t="s">
        <v>30</v>
      </c>
      <c r="AG51" s="165">
        <f>SUM(AG8:AG50)</f>
        <v>212364.51800000004</v>
      </c>
      <c r="AH51" s="164" t="s">
        <v>84</v>
      </c>
    </row>
    <row r="53" spans="1:38" ht="27.75" x14ac:dyDescent="0.3">
      <c r="A53" s="113" t="s">
        <v>581</v>
      </c>
      <c r="B53" s="114">
        <f>+AG51*E4</f>
        <v>72126.509239104387</v>
      </c>
      <c r="C53" s="166" t="s">
        <v>257</v>
      </c>
      <c r="D53" s="94" t="s">
        <v>141</v>
      </c>
    </row>
  </sheetData>
  <mergeCells count="2">
    <mergeCell ref="E2:F2"/>
    <mergeCell ref="E3:F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AE78-622C-4EAE-AADF-98B4E501FDE4}">
  <dimension ref="A1:J26"/>
  <sheetViews>
    <sheetView showGridLines="0" topLeftCell="A18" workbookViewId="0">
      <selection activeCell="B20" sqref="B20"/>
    </sheetView>
  </sheetViews>
  <sheetFormatPr baseColWidth="10" defaultRowHeight="14.25" x14ac:dyDescent="0.2"/>
  <cols>
    <col min="1" max="1" width="25.140625" style="84" customWidth="1"/>
    <col min="2" max="2" width="16.85546875" style="84" bestFit="1" customWidth="1"/>
    <col min="3" max="3" width="15.28515625" style="84" customWidth="1"/>
    <col min="4" max="5" width="25.5703125" style="84" bestFit="1" customWidth="1"/>
    <col min="6" max="6" width="21.5703125" style="84" customWidth="1"/>
    <col min="7" max="9" width="11.42578125" style="84"/>
    <col min="10" max="10" width="12" style="84" bestFit="1" customWidth="1"/>
    <col min="11" max="14" width="11.42578125" style="84"/>
    <col min="15" max="15" width="30" style="84" bestFit="1" customWidth="1"/>
    <col min="16" max="16384" width="11.42578125" style="84"/>
  </cols>
  <sheetData>
    <row r="1" spans="1:9" ht="30" x14ac:dyDescent="0.4">
      <c r="A1" s="93" t="s">
        <v>116</v>
      </c>
    </row>
    <row r="2" spans="1:9" ht="23.25" x14ac:dyDescent="0.4">
      <c r="A2" s="92" t="s">
        <v>117</v>
      </c>
      <c r="E2" s="198" t="s">
        <v>106</v>
      </c>
      <c r="F2" s="198"/>
    </row>
    <row r="3" spans="1:9" ht="20.25" x14ac:dyDescent="0.3">
      <c r="A3" s="92" t="s">
        <v>598</v>
      </c>
      <c r="E3" s="96" t="s">
        <v>119</v>
      </c>
      <c r="F3" s="96" t="s">
        <v>138</v>
      </c>
    </row>
    <row r="4" spans="1:9" x14ac:dyDescent="0.2">
      <c r="E4" s="85">
        <f>+'Fuentes y Factores (enfoque 3)'!B15</f>
        <v>0.31141251842738371</v>
      </c>
      <c r="F4" s="85">
        <f>+'Fuentes y Factores (enfoque 3)'!B16</f>
        <v>56.1</v>
      </c>
    </row>
    <row r="5" spans="1:9" x14ac:dyDescent="0.2">
      <c r="A5" s="95" t="s">
        <v>118</v>
      </c>
    </row>
    <row r="7" spans="1:9" x14ac:dyDescent="0.2">
      <c r="A7" s="202" t="s">
        <v>142</v>
      </c>
      <c r="B7" s="203"/>
      <c r="C7" s="203"/>
      <c r="D7" s="203"/>
      <c r="E7" s="203"/>
      <c r="F7" s="204"/>
    </row>
    <row r="8" spans="1:9" ht="48" x14ac:dyDescent="0.2">
      <c r="A8" s="103"/>
      <c r="B8" s="104" t="s">
        <v>83</v>
      </c>
      <c r="C8" s="98" t="s">
        <v>123</v>
      </c>
      <c r="D8" s="98" t="s">
        <v>124</v>
      </c>
      <c r="E8" s="98" t="s">
        <v>137</v>
      </c>
      <c r="F8" s="98" t="s">
        <v>124</v>
      </c>
    </row>
    <row r="9" spans="1:9" x14ac:dyDescent="0.2">
      <c r="A9" s="105" t="s">
        <v>87</v>
      </c>
      <c r="B9" s="105">
        <v>2.7</v>
      </c>
      <c r="C9" s="100">
        <f t="shared" ref="C9:C17" si="0">+B9*$B$23/100</f>
        <v>3134265.6510000001</v>
      </c>
      <c r="D9" s="100">
        <f t="shared" ref="D9:D17" si="1">+C9*$E$4</f>
        <v>976049.55979835335</v>
      </c>
      <c r="E9" s="100">
        <f t="shared" ref="E9:E17" si="2">+B9*$B$26/100</f>
        <v>21923.121985586698</v>
      </c>
      <c r="F9" s="100">
        <f t="shared" ref="F9:F17" si="3">+E9*$F$4</f>
        <v>1229887.1433914138</v>
      </c>
    </row>
    <row r="10" spans="1:9" x14ac:dyDescent="0.2">
      <c r="A10" s="108" t="s">
        <v>88</v>
      </c>
      <c r="B10" s="109">
        <v>0.5</v>
      </c>
      <c r="C10" s="110">
        <f t="shared" si="0"/>
        <v>580419.56499999994</v>
      </c>
      <c r="D10" s="110">
        <f t="shared" si="1"/>
        <v>180749.91848117652</v>
      </c>
      <c r="E10" s="110">
        <f t="shared" si="2"/>
        <v>4059.8374047382777</v>
      </c>
      <c r="F10" s="110">
        <f t="shared" si="3"/>
        <v>227756.87840581738</v>
      </c>
    </row>
    <row r="11" spans="1:9" x14ac:dyDescent="0.2">
      <c r="A11" s="108" t="s">
        <v>89</v>
      </c>
      <c r="B11" s="109">
        <v>1.8</v>
      </c>
      <c r="C11" s="110">
        <f t="shared" si="0"/>
        <v>2089510.4340000001</v>
      </c>
      <c r="D11" s="110">
        <f t="shared" si="1"/>
        <v>650699.70653223561</v>
      </c>
      <c r="E11" s="110">
        <f t="shared" si="2"/>
        <v>14615.414657057798</v>
      </c>
      <c r="F11" s="110">
        <f t="shared" si="3"/>
        <v>819924.76226094249</v>
      </c>
    </row>
    <row r="12" spans="1:9" x14ac:dyDescent="0.2">
      <c r="A12" s="108" t="s">
        <v>90</v>
      </c>
      <c r="B12" s="109">
        <v>0.4</v>
      </c>
      <c r="C12" s="110">
        <f t="shared" si="0"/>
        <v>464335.652</v>
      </c>
      <c r="D12" s="110">
        <f t="shared" si="1"/>
        <v>144599.93478494123</v>
      </c>
      <c r="E12" s="110">
        <f t="shared" si="2"/>
        <v>3247.8699237906221</v>
      </c>
      <c r="F12" s="110">
        <f t="shared" si="3"/>
        <v>182205.5027246539</v>
      </c>
    </row>
    <row r="13" spans="1:9" x14ac:dyDescent="0.2">
      <c r="A13" s="106" t="s">
        <v>91</v>
      </c>
      <c r="B13" s="105">
        <v>3.9</v>
      </c>
      <c r="C13" s="100">
        <f t="shared" si="0"/>
        <v>4527272.6069999998</v>
      </c>
      <c r="D13" s="100">
        <f>+C13*$E$4</f>
        <v>1409849.364153177</v>
      </c>
      <c r="E13" s="100">
        <f t="shared" si="2"/>
        <v>31666.731756958565</v>
      </c>
      <c r="F13" s="100">
        <f>+E13*$F$4</f>
        <v>1776503.6515653755</v>
      </c>
    </row>
    <row r="14" spans="1:9" x14ac:dyDescent="0.2">
      <c r="A14" s="108" t="s">
        <v>92</v>
      </c>
      <c r="B14" s="109">
        <v>2</v>
      </c>
      <c r="C14" s="110">
        <f t="shared" si="0"/>
        <v>2321678.2599999998</v>
      </c>
      <c r="D14" s="110">
        <f t="shared" si="1"/>
        <v>722999.67392470606</v>
      </c>
      <c r="E14" s="110">
        <f t="shared" si="2"/>
        <v>16239.349618953111</v>
      </c>
      <c r="F14" s="110">
        <f t="shared" si="3"/>
        <v>911027.51362326951</v>
      </c>
    </row>
    <row r="15" spans="1:9" x14ac:dyDescent="0.2">
      <c r="A15" s="108" t="s">
        <v>93</v>
      </c>
      <c r="B15" s="109">
        <v>1</v>
      </c>
      <c r="C15" s="110">
        <f t="shared" si="0"/>
        <v>1160839.1299999999</v>
      </c>
      <c r="D15" s="110">
        <f t="shared" si="1"/>
        <v>361499.83696235303</v>
      </c>
      <c r="E15" s="110">
        <f t="shared" si="2"/>
        <v>8119.6748094765553</v>
      </c>
      <c r="F15" s="110">
        <f t="shared" si="3"/>
        <v>455513.75681163475</v>
      </c>
      <c r="I15" s="111"/>
    </row>
    <row r="16" spans="1:9" x14ac:dyDescent="0.2">
      <c r="A16" s="108" t="s">
        <v>94</v>
      </c>
      <c r="B16" s="109">
        <v>0.9</v>
      </c>
      <c r="C16" s="110">
        <f t="shared" si="0"/>
        <v>1044755.2170000001</v>
      </c>
      <c r="D16" s="110">
        <f t="shared" si="1"/>
        <v>325349.8532661178</v>
      </c>
      <c r="E16" s="110">
        <f t="shared" si="2"/>
        <v>7307.7073285288989</v>
      </c>
      <c r="F16" s="110">
        <f t="shared" si="3"/>
        <v>409962.38113047124</v>
      </c>
    </row>
    <row r="17" spans="1:10" x14ac:dyDescent="0.2">
      <c r="A17" s="106" t="s">
        <v>98</v>
      </c>
      <c r="B17" s="105">
        <v>2.8</v>
      </c>
      <c r="C17" s="100">
        <f t="shared" si="0"/>
        <v>3250349.5639999998</v>
      </c>
      <c r="D17" s="100">
        <f t="shared" si="1"/>
        <v>1012199.5434945886</v>
      </c>
      <c r="E17" s="100">
        <f t="shared" si="2"/>
        <v>22735.089466534355</v>
      </c>
      <c r="F17" s="100">
        <f t="shared" si="3"/>
        <v>1275438.5190725774</v>
      </c>
      <c r="H17" s="86"/>
    </row>
    <row r="18" spans="1:10" x14ac:dyDescent="0.2">
      <c r="A18" s="112" t="s">
        <v>95</v>
      </c>
      <c r="B18" s="102">
        <v>9.4</v>
      </c>
      <c r="C18" s="99">
        <f>+C17+C13+C9</f>
        <v>10911887.822000001</v>
      </c>
      <c r="D18" s="107">
        <f>+D17+D13+D9</f>
        <v>3398098.4674461191</v>
      </c>
      <c r="E18" s="99">
        <f>+E17+E13+E9</f>
        <v>76324.943209079618</v>
      </c>
      <c r="F18" s="107">
        <f>+F17+F13+F9</f>
        <v>4281829.3140293667</v>
      </c>
      <c r="H18" s="86"/>
    </row>
    <row r="19" spans="1:10" s="87" customFormat="1" x14ac:dyDescent="0.2">
      <c r="A19" s="101"/>
      <c r="B19" s="102"/>
      <c r="C19" s="100"/>
      <c r="D19" s="100"/>
      <c r="E19" s="100"/>
      <c r="F19" s="100"/>
      <c r="H19" s="88"/>
    </row>
    <row r="20" spans="1:10" ht="24" x14ac:dyDescent="0.2">
      <c r="A20" s="113" t="s">
        <v>258</v>
      </c>
      <c r="B20" s="114">
        <f>+(D18+F18)/1000</f>
        <v>7679.927781475486</v>
      </c>
      <c r="C20" s="115" t="s">
        <v>125</v>
      </c>
      <c r="D20" s="205" t="s">
        <v>141</v>
      </c>
      <c r="E20" s="206"/>
      <c r="F20" s="207"/>
      <c r="H20" s="86"/>
    </row>
    <row r="21" spans="1:10" s="87" customFormat="1" x14ac:dyDescent="0.2">
      <c r="A21" s="131"/>
      <c r="B21" s="132"/>
      <c r="C21" s="133"/>
      <c r="D21" s="134"/>
      <c r="E21" s="134"/>
      <c r="F21" s="89"/>
      <c r="I21" s="139"/>
    </row>
    <row r="22" spans="1:10" s="87" customFormat="1" x14ac:dyDescent="0.2">
      <c r="A22" s="199" t="s">
        <v>122</v>
      </c>
      <c r="B22" s="200"/>
      <c r="C22" s="200"/>
      <c r="D22" s="201"/>
      <c r="E22" s="140"/>
      <c r="F22" s="140"/>
      <c r="I22" s="139"/>
    </row>
    <row r="23" spans="1:10" x14ac:dyDescent="0.2">
      <c r="A23" s="135" t="s">
        <v>96</v>
      </c>
      <c r="B23" s="99">
        <f>+'Fuentes y Factores (enfoque 3)'!B10</f>
        <v>116083913</v>
      </c>
      <c r="C23" s="138" t="s">
        <v>84</v>
      </c>
      <c r="D23" s="137" t="s">
        <v>140</v>
      </c>
      <c r="F23" s="94"/>
      <c r="J23" s="86"/>
    </row>
    <row r="24" spans="1:10" s="91" customFormat="1" x14ac:dyDescent="0.2">
      <c r="A24" s="141"/>
      <c r="B24" s="142"/>
      <c r="C24" s="143"/>
      <c r="D24" s="144"/>
      <c r="F24" s="128"/>
      <c r="J24" s="90"/>
    </row>
    <row r="25" spans="1:10" x14ac:dyDescent="0.2">
      <c r="A25" s="199" t="s">
        <v>120</v>
      </c>
      <c r="B25" s="200"/>
      <c r="C25" s="200"/>
      <c r="D25" s="201"/>
      <c r="E25" s="140"/>
      <c r="F25" s="140"/>
      <c r="G25" s="91"/>
      <c r="J25" s="86"/>
    </row>
    <row r="26" spans="1:10" x14ac:dyDescent="0.2">
      <c r="A26" s="135" t="s">
        <v>97</v>
      </c>
      <c r="B26" s="99">
        <f>+'Fuentes y Factores (enfoque 3)'!B9*1000*'Fuentes y Factores (enfoque 3)'!B17</f>
        <v>811967.48094765551</v>
      </c>
      <c r="C26" s="138" t="s">
        <v>133</v>
      </c>
      <c r="D26" s="137" t="s">
        <v>140</v>
      </c>
      <c r="F26" s="94"/>
      <c r="J26" s="86"/>
    </row>
  </sheetData>
  <mergeCells count="5">
    <mergeCell ref="A22:D22"/>
    <mergeCell ref="A25:D25"/>
    <mergeCell ref="E2:F2"/>
    <mergeCell ref="A7:F7"/>
    <mergeCell ref="D20:F2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63F4-4D7A-4033-8363-0ED191932026}">
  <dimension ref="A1:F23"/>
  <sheetViews>
    <sheetView showGridLines="0" topLeftCell="A2" workbookViewId="0">
      <selection activeCell="A2" sqref="A2"/>
    </sheetView>
  </sheetViews>
  <sheetFormatPr baseColWidth="10" defaultRowHeight="14.25" x14ac:dyDescent="0.2"/>
  <cols>
    <col min="1" max="1" width="74" style="84" bestFit="1" customWidth="1"/>
    <col min="2" max="2" width="34" style="84" bestFit="1" customWidth="1"/>
    <col min="3" max="3" width="12.42578125" style="84" bestFit="1" customWidth="1"/>
    <col min="4" max="4" width="49.5703125" style="84" bestFit="1" customWidth="1"/>
    <col min="5" max="16384" width="11.42578125" style="84"/>
  </cols>
  <sheetData>
    <row r="1" spans="1:4" ht="30" x14ac:dyDescent="0.4">
      <c r="A1" s="93" t="s">
        <v>116</v>
      </c>
    </row>
    <row r="2" spans="1:4" ht="23.25" x14ac:dyDescent="0.4">
      <c r="A2" s="92" t="s">
        <v>117</v>
      </c>
    </row>
    <row r="3" spans="1:4" ht="20.25" x14ac:dyDescent="0.3">
      <c r="A3" s="92" t="s">
        <v>115</v>
      </c>
    </row>
    <row r="5" spans="1:4" s="94" customFormat="1" ht="12" x14ac:dyDescent="0.2">
      <c r="A5" s="116" t="s">
        <v>126</v>
      </c>
    </row>
    <row r="6" spans="1:4" s="94" customFormat="1" ht="12" x14ac:dyDescent="0.2"/>
    <row r="7" spans="1:4" s="94" customFormat="1" ht="12" x14ac:dyDescent="0.2">
      <c r="A7" s="117" t="s">
        <v>113</v>
      </c>
      <c r="B7" s="117" t="s">
        <v>129</v>
      </c>
      <c r="C7" s="117" t="s">
        <v>110</v>
      </c>
      <c r="D7" s="117" t="s">
        <v>111</v>
      </c>
    </row>
    <row r="8" spans="1:4" s="94" customFormat="1" ht="36" x14ac:dyDescent="0.2">
      <c r="A8" s="118" t="s">
        <v>109</v>
      </c>
      <c r="B8" s="119">
        <v>9.4</v>
      </c>
      <c r="C8" s="118">
        <v>2017</v>
      </c>
      <c r="D8" s="120" t="s">
        <v>112</v>
      </c>
    </row>
    <row r="9" spans="1:4" s="94" customFormat="1" ht="36" x14ac:dyDescent="0.2">
      <c r="A9" s="120" t="s">
        <v>121</v>
      </c>
      <c r="B9" s="121">
        <v>19393.510101931199</v>
      </c>
      <c r="C9" s="118">
        <v>2017</v>
      </c>
      <c r="D9" s="120" t="s">
        <v>114</v>
      </c>
    </row>
    <row r="10" spans="1:4" s="94" customFormat="1" ht="24" x14ac:dyDescent="0.2">
      <c r="A10" s="118" t="s">
        <v>139</v>
      </c>
      <c r="B10" s="121">
        <v>116083913</v>
      </c>
      <c r="C10" s="118">
        <v>2017</v>
      </c>
      <c r="D10" s="120" t="s">
        <v>597</v>
      </c>
    </row>
    <row r="11" spans="1:4" s="94" customFormat="1" ht="12" x14ac:dyDescent="0.2"/>
    <row r="12" spans="1:4" s="123" customFormat="1" ht="12" x14ac:dyDescent="0.2">
      <c r="A12" s="122" t="s">
        <v>127</v>
      </c>
    </row>
    <row r="13" spans="1:4" s="123" customFormat="1" ht="12" x14ac:dyDescent="0.2">
      <c r="A13" s="122"/>
    </row>
    <row r="14" spans="1:4" s="94" customFormat="1" ht="12" x14ac:dyDescent="0.2">
      <c r="A14" s="117" t="s">
        <v>128</v>
      </c>
      <c r="B14" s="117" t="s">
        <v>129</v>
      </c>
      <c r="C14" s="117" t="s">
        <v>110</v>
      </c>
      <c r="D14" s="117" t="s">
        <v>111</v>
      </c>
    </row>
    <row r="15" spans="1:4" s="94" customFormat="1" ht="24" x14ac:dyDescent="0.2">
      <c r="A15" s="124" t="s">
        <v>132</v>
      </c>
      <c r="B15" s="125">
        <f>+'4 a) Simple OM 2007-2019'!M33</f>
        <v>0.31141251842738371</v>
      </c>
      <c r="C15" s="119">
        <v>2017</v>
      </c>
      <c r="D15" s="120" t="s">
        <v>130</v>
      </c>
    </row>
    <row r="16" spans="1:4" s="94" customFormat="1" ht="72" x14ac:dyDescent="0.2">
      <c r="A16" s="118" t="s">
        <v>136</v>
      </c>
      <c r="B16" s="126">
        <v>56.1</v>
      </c>
      <c r="C16" s="119" t="s">
        <v>131</v>
      </c>
      <c r="D16" s="120" t="s">
        <v>134</v>
      </c>
    </row>
    <row r="17" spans="1:6" s="94" customFormat="1" ht="12" x14ac:dyDescent="0.2">
      <c r="B17" s="130">
        <v>4.1868000000000002E-2</v>
      </c>
      <c r="C17" s="121" t="s">
        <v>135</v>
      </c>
      <c r="D17" s="94" t="s">
        <v>107</v>
      </c>
    </row>
    <row r="18" spans="1:6" s="94" customFormat="1" ht="12" x14ac:dyDescent="0.2">
      <c r="A18" s="127"/>
      <c r="B18" s="128"/>
      <c r="C18" s="128"/>
      <c r="D18" s="129"/>
      <c r="E18" s="128"/>
      <c r="F18" s="128"/>
    </row>
    <row r="19" spans="1:6" x14ac:dyDescent="0.2">
      <c r="A19" s="145"/>
      <c r="D19" s="91"/>
      <c r="E19" s="91"/>
      <c r="F19" s="91"/>
    </row>
    <row r="20" spans="1:6" x14ac:dyDescent="0.2">
      <c r="A20" s="91"/>
      <c r="B20" s="91"/>
      <c r="C20" s="91"/>
      <c r="D20" s="91"/>
      <c r="E20" s="91"/>
      <c r="F20" s="91"/>
    </row>
    <row r="21" spans="1:6" x14ac:dyDescent="0.2">
      <c r="A21" s="91"/>
      <c r="B21" s="91"/>
      <c r="C21" s="91"/>
      <c r="D21" s="91"/>
      <c r="E21" s="91"/>
      <c r="F21" s="91"/>
    </row>
    <row r="22" spans="1:6" x14ac:dyDescent="0.2">
      <c r="A22" s="91"/>
      <c r="B22" s="91"/>
      <c r="C22" s="91"/>
      <c r="D22" s="91"/>
      <c r="E22" s="91"/>
      <c r="F22" s="91"/>
    </row>
    <row r="23" spans="1:6" x14ac:dyDescent="0.2">
      <c r="A23" s="91"/>
      <c r="B23" s="91"/>
      <c r="C23" s="91"/>
      <c r="D23" s="91"/>
      <c r="E23" s="91"/>
      <c r="F23" s="9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B575-022D-460F-9B30-944323440BE3}">
  <dimension ref="A1:E19"/>
  <sheetViews>
    <sheetView showGridLines="0" workbookViewId="0"/>
  </sheetViews>
  <sheetFormatPr baseColWidth="10" defaultRowHeight="12" x14ac:dyDescent="0.2"/>
  <cols>
    <col min="1" max="1" width="74" style="94" bestFit="1" customWidth="1"/>
    <col min="2" max="2" width="21.42578125" style="94" customWidth="1"/>
    <col min="3" max="3" width="13.5703125" style="94" customWidth="1"/>
    <col min="4" max="4" width="28.28515625" style="94" customWidth="1"/>
    <col min="5" max="16384" width="11.42578125" style="94"/>
  </cols>
  <sheetData>
    <row r="1" spans="1:5" ht="30" x14ac:dyDescent="0.4">
      <c r="A1" s="93" t="s">
        <v>116</v>
      </c>
    </row>
    <row r="2" spans="1:5" ht="23.25" x14ac:dyDescent="0.4">
      <c r="A2" s="92" t="s">
        <v>117</v>
      </c>
    </row>
    <row r="3" spans="1:5" x14ac:dyDescent="0.2">
      <c r="A3" s="116" t="s">
        <v>595</v>
      </c>
    </row>
    <row r="6" spans="1:5" x14ac:dyDescent="0.2">
      <c r="A6" s="208" t="s">
        <v>596</v>
      </c>
      <c r="B6" s="208"/>
      <c r="C6" s="208"/>
      <c r="D6" s="208"/>
      <c r="E6" s="208"/>
    </row>
    <row r="7" spans="1:5" ht="48" x14ac:dyDescent="0.2">
      <c r="A7" s="209" t="s">
        <v>590</v>
      </c>
      <c r="B7" s="170" t="s">
        <v>99</v>
      </c>
      <c r="C7" s="170" t="s">
        <v>100</v>
      </c>
      <c r="D7" s="170" t="s">
        <v>101</v>
      </c>
      <c r="E7" s="170" t="s">
        <v>102</v>
      </c>
    </row>
    <row r="8" spans="1:5" x14ac:dyDescent="0.2">
      <c r="A8" s="209"/>
      <c r="B8" s="171" t="s">
        <v>103</v>
      </c>
      <c r="C8" s="136">
        <v>2488</v>
      </c>
      <c r="D8" s="136">
        <v>1513</v>
      </c>
      <c r="E8" s="136">
        <v>2413</v>
      </c>
    </row>
    <row r="9" spans="1:5" x14ac:dyDescent="0.2">
      <c r="A9" s="209"/>
      <c r="B9" s="171" t="s">
        <v>104</v>
      </c>
      <c r="C9" s="136">
        <v>1756</v>
      </c>
      <c r="D9" s="136">
        <v>1068</v>
      </c>
      <c r="E9" s="136">
        <v>1704</v>
      </c>
    </row>
    <row r="10" spans="1:5" x14ac:dyDescent="0.2">
      <c r="A10" s="209"/>
      <c r="B10" s="171" t="s">
        <v>105</v>
      </c>
      <c r="C10" s="136">
        <v>10391</v>
      </c>
      <c r="D10" s="136">
        <v>6318</v>
      </c>
      <c r="E10" s="136">
        <v>10080</v>
      </c>
    </row>
    <row r="11" spans="1:5" x14ac:dyDescent="0.2">
      <c r="A11" s="209"/>
      <c r="B11" s="172" t="s">
        <v>108</v>
      </c>
      <c r="C11" s="173">
        <f>SUM(C8:C10)</f>
        <v>14635</v>
      </c>
      <c r="D11" s="173">
        <f>SUM(D8:D10)</f>
        <v>8899</v>
      </c>
      <c r="E11" s="173">
        <f>SUM(E8:E10)</f>
        <v>14197</v>
      </c>
    </row>
    <row r="12" spans="1:5" x14ac:dyDescent="0.2">
      <c r="A12" s="177"/>
      <c r="B12" s="178"/>
      <c r="C12" s="179"/>
      <c r="D12" s="179"/>
      <c r="E12" s="179"/>
    </row>
    <row r="13" spans="1:5" ht="13.5" x14ac:dyDescent="0.25">
      <c r="A13" s="181" t="s">
        <v>594</v>
      </c>
      <c r="B13" s="180">
        <f>+'Emisiones enfoque 3'!B20</f>
        <v>7679.927781475486</v>
      </c>
      <c r="C13" s="97" t="s">
        <v>591</v>
      </c>
      <c r="D13" s="179"/>
      <c r="E13" s="179"/>
    </row>
    <row r="15" spans="1:5" x14ac:dyDescent="0.2">
      <c r="A15" s="208" t="s">
        <v>587</v>
      </c>
      <c r="B15" s="208"/>
      <c r="C15" s="208"/>
      <c r="D15" s="208"/>
      <c r="E15" s="208"/>
    </row>
    <row r="16" spans="1:5" ht="13.5" x14ac:dyDescent="0.25">
      <c r="A16" s="94" t="s">
        <v>588</v>
      </c>
      <c r="B16" s="174">
        <v>4307.96</v>
      </c>
      <c r="C16" s="94" t="s">
        <v>591</v>
      </c>
    </row>
    <row r="17" spans="1:4" ht="15" customHeight="1" x14ac:dyDescent="0.2">
      <c r="A17" s="97"/>
      <c r="B17" s="210" t="s">
        <v>589</v>
      </c>
      <c r="C17" s="211"/>
      <c r="D17" s="212"/>
    </row>
    <row r="18" spans="1:4" ht="24.75" x14ac:dyDescent="0.25">
      <c r="A18" s="175" t="s">
        <v>592</v>
      </c>
      <c r="B18" s="176">
        <f>+'Emisiones enfoque 1'!B62/1000</f>
        <v>84.890579054166793</v>
      </c>
      <c r="C18" s="97" t="s">
        <v>591</v>
      </c>
      <c r="D18" s="162">
        <f>+B18*100/$B$16</f>
        <v>1.9705517009017446</v>
      </c>
    </row>
    <row r="19" spans="1:4" ht="24.75" x14ac:dyDescent="0.25">
      <c r="A19" s="175" t="s">
        <v>593</v>
      </c>
      <c r="B19" s="176">
        <f>+'Emisiones enfoque 2'!B53/1000</f>
        <v>72.126509239104394</v>
      </c>
      <c r="C19" s="97" t="s">
        <v>591</v>
      </c>
      <c r="D19" s="162">
        <f>+B19*100/$B$16</f>
        <v>1.6742613496667655</v>
      </c>
    </row>
  </sheetData>
  <mergeCells count="4">
    <mergeCell ref="A6:E6"/>
    <mergeCell ref="A7:A11"/>
    <mergeCell ref="A15:E15"/>
    <mergeCell ref="B17:D17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DEA9-BF33-4F90-9A71-F395A5DE1371}">
  <dimension ref="A1:Y35"/>
  <sheetViews>
    <sheetView tabSelected="1" workbookViewId="0"/>
  </sheetViews>
  <sheetFormatPr baseColWidth="10" defaultRowHeight="15" x14ac:dyDescent="0.25"/>
  <cols>
    <col min="1" max="1" width="35.28515625" customWidth="1"/>
    <col min="2" max="2" width="28.85546875" customWidth="1"/>
    <col min="3" max="3" width="26.140625" customWidth="1"/>
    <col min="4" max="4" width="7.7109375" customWidth="1"/>
    <col min="5" max="5" width="14.140625" customWidth="1"/>
    <col min="6" max="6" width="25.7109375" customWidth="1"/>
  </cols>
  <sheetData>
    <row r="1" spans="1:25" ht="30" x14ac:dyDescent="0.4">
      <c r="A1" s="93" t="s">
        <v>116</v>
      </c>
    </row>
    <row r="2" spans="1:25" ht="23.25" x14ac:dyDescent="0.4">
      <c r="A2" s="92" t="s">
        <v>117</v>
      </c>
    </row>
    <row r="3" spans="1:25" x14ac:dyDescent="0.25">
      <c r="A3" s="116" t="s">
        <v>618</v>
      </c>
    </row>
    <row r="4" spans="1:25" x14ac:dyDescent="0.25">
      <c r="A4" s="94" t="s">
        <v>599</v>
      </c>
    </row>
    <row r="6" spans="1:25" ht="38.25" customHeight="1" x14ac:dyDescent="0.25">
      <c r="A6" s="182" t="s">
        <v>600</v>
      </c>
      <c r="B6" s="182" t="s">
        <v>626</v>
      </c>
      <c r="C6" s="182" t="s">
        <v>601</v>
      </c>
      <c r="F6" s="183" t="s">
        <v>619</v>
      </c>
      <c r="G6" s="183" t="s">
        <v>620</v>
      </c>
      <c r="H6" s="183" t="s">
        <v>621</v>
      </c>
      <c r="I6" s="183" t="s">
        <v>622</v>
      </c>
    </row>
    <row r="7" spans="1:25" ht="38.25" customHeight="1" x14ac:dyDescent="0.25">
      <c r="A7" s="227" t="s">
        <v>602</v>
      </c>
      <c r="B7" s="226">
        <f>+A20</f>
        <v>11104.791599999999</v>
      </c>
      <c r="C7" s="227" t="s">
        <v>627</v>
      </c>
      <c r="E7" s="183" t="s">
        <v>603</v>
      </c>
      <c r="F7" s="185">
        <f>+A14</f>
        <v>370159.72</v>
      </c>
      <c r="G7" s="185">
        <f>AVERAGE(+A20,A21)</f>
        <v>14806.388800000001</v>
      </c>
      <c r="H7" s="185">
        <f>+A25</f>
        <v>8808.9622000000018</v>
      </c>
      <c r="I7" s="185">
        <f>+A30</f>
        <v>14362.197135999999</v>
      </c>
    </row>
    <row r="8" spans="1:25" ht="25.5" customHeight="1" x14ac:dyDescent="0.25">
      <c r="A8" s="228"/>
      <c r="B8" s="226">
        <f>+A21</f>
        <v>18507.986000000001</v>
      </c>
      <c r="C8" s="228"/>
      <c r="E8" s="183" t="s">
        <v>605</v>
      </c>
      <c r="F8" s="186">
        <v>1</v>
      </c>
      <c r="G8" s="186">
        <f>+A18</f>
        <v>0.03</v>
      </c>
      <c r="H8" s="187">
        <f>+A26</f>
        <v>2.379773304345487E-2</v>
      </c>
      <c r="I8" s="187">
        <f>+A29</f>
        <v>3.8800000000000001E-2</v>
      </c>
    </row>
    <row r="9" spans="1:25" ht="41.25" x14ac:dyDescent="0.25">
      <c r="A9" s="184" t="s">
        <v>604</v>
      </c>
      <c r="B9" s="226">
        <f>+A25</f>
        <v>8808.9622000000018</v>
      </c>
      <c r="C9" s="184" t="s">
        <v>628</v>
      </c>
      <c r="Y9" t="s">
        <v>606</v>
      </c>
    </row>
    <row r="10" spans="1:25" ht="41.25" x14ac:dyDescent="0.25">
      <c r="A10" s="229" t="s">
        <v>607</v>
      </c>
      <c r="B10" s="232">
        <f>+A30</f>
        <v>14362.197135999999</v>
      </c>
      <c r="C10" s="229" t="s">
        <v>630</v>
      </c>
      <c r="F10" s="188"/>
      <c r="G10" s="188"/>
      <c r="H10" s="188"/>
      <c r="I10" s="188"/>
    </row>
    <row r="11" spans="1:25" ht="41.25" x14ac:dyDescent="0.25">
      <c r="A11" s="230">
        <f>+B11/A14</f>
        <v>2.0747605335003728E-2</v>
      </c>
      <c r="B11" s="231">
        <f>+'Emisiones enfoque 3'!B20</f>
        <v>7679.927781475486</v>
      </c>
      <c r="C11" s="183" t="s">
        <v>629</v>
      </c>
      <c r="F11" s="188"/>
      <c r="G11" s="188"/>
      <c r="H11" s="188"/>
      <c r="I11" s="188"/>
    </row>
    <row r="12" spans="1:25" ht="38.25" x14ac:dyDescent="0.25">
      <c r="E12" s="225" t="s">
        <v>608</v>
      </c>
      <c r="F12" s="183" t="s">
        <v>609</v>
      </c>
      <c r="G12" s="189" t="s">
        <v>620</v>
      </c>
      <c r="H12" s="183" t="s">
        <v>621</v>
      </c>
      <c r="I12" s="183" t="s">
        <v>622</v>
      </c>
    </row>
    <row r="13" spans="1:25" x14ac:dyDescent="0.25">
      <c r="A13" s="190" t="s">
        <v>610</v>
      </c>
      <c r="E13" s="225"/>
      <c r="F13" s="14" t="s">
        <v>103</v>
      </c>
      <c r="G13" s="185">
        <f>+E16*$G$7</f>
        <v>2517.0860960000005</v>
      </c>
      <c r="H13" s="185">
        <f>+E16*$H$7</f>
        <v>1497.5235740000005</v>
      </c>
      <c r="I13" s="185">
        <f>+E16*$I$7</f>
        <v>2441.5735131199999</v>
      </c>
    </row>
    <row r="14" spans="1:25" x14ac:dyDescent="0.25">
      <c r="A14" s="191">
        <v>370159.72</v>
      </c>
      <c r="B14" t="s">
        <v>611</v>
      </c>
      <c r="E14" s="225"/>
      <c r="F14" s="14" t="s">
        <v>104</v>
      </c>
      <c r="G14" s="185">
        <f>+G7*$E$17</f>
        <v>1776.766656</v>
      </c>
      <c r="H14" s="185">
        <f>+H7*$E$17</f>
        <v>1057.0754640000002</v>
      </c>
      <c r="I14" s="185">
        <f>+I7*$E$17</f>
        <v>1723.4636563199997</v>
      </c>
    </row>
    <row r="15" spans="1:25" x14ac:dyDescent="0.25">
      <c r="A15" s="188">
        <v>44044811</v>
      </c>
      <c r="B15" t="s">
        <v>612</v>
      </c>
      <c r="E15" s="225"/>
      <c r="F15" s="14" t="s">
        <v>105</v>
      </c>
      <c r="G15" s="185">
        <f>+G7*$E$18</f>
        <v>10512.536048</v>
      </c>
      <c r="H15" s="185">
        <f>+H7*$E$18</f>
        <v>6254.3631620000006</v>
      </c>
      <c r="I15" s="185">
        <f>+I7*$E$18</f>
        <v>10197.159966559999</v>
      </c>
    </row>
    <row r="16" spans="1:25" x14ac:dyDescent="0.25">
      <c r="E16" s="222">
        <v>0.17</v>
      </c>
    </row>
    <row r="17" spans="1:5" ht="25.5" x14ac:dyDescent="0.25">
      <c r="A17" s="190" t="s">
        <v>624</v>
      </c>
      <c r="E17" s="222">
        <v>0.12</v>
      </c>
    </row>
    <row r="18" spans="1:5" x14ac:dyDescent="0.25">
      <c r="A18" s="193">
        <v>0.03</v>
      </c>
      <c r="B18" s="192" t="s">
        <v>600</v>
      </c>
      <c r="E18" s="222">
        <v>0.71</v>
      </c>
    </row>
    <row r="19" spans="1:5" x14ac:dyDescent="0.25">
      <c r="A19" s="193">
        <v>0.05</v>
      </c>
      <c r="B19" s="192" t="s">
        <v>600</v>
      </c>
      <c r="E19" s="224">
        <f>SUM(E16:E18)</f>
        <v>1</v>
      </c>
    </row>
    <row r="20" spans="1:5" x14ac:dyDescent="0.25">
      <c r="A20" s="191">
        <f>+A14*A18</f>
        <v>11104.791599999999</v>
      </c>
      <c r="B20" t="s">
        <v>611</v>
      </c>
      <c r="E20" s="223"/>
    </row>
    <row r="21" spans="1:5" x14ac:dyDescent="0.25">
      <c r="A21" s="191">
        <f>+A14*A19</f>
        <v>18507.986000000001</v>
      </c>
      <c r="B21" t="s">
        <v>611</v>
      </c>
    </row>
    <row r="22" spans="1:5" x14ac:dyDescent="0.25">
      <c r="A22" s="191"/>
    </row>
    <row r="23" spans="1:5" ht="38.25" x14ac:dyDescent="0.25">
      <c r="A23" s="190" t="s">
        <v>623</v>
      </c>
    </row>
    <row r="24" spans="1:5" x14ac:dyDescent="0.25">
      <c r="A24">
        <v>0.2</v>
      </c>
      <c r="B24" t="s">
        <v>613</v>
      </c>
    </row>
    <row r="25" spans="1:5" x14ac:dyDescent="0.25">
      <c r="A25" s="188">
        <f>+(A15*A24)/1000</f>
        <v>8808.9622000000018</v>
      </c>
      <c r="B25" t="s">
        <v>611</v>
      </c>
    </row>
    <row r="26" spans="1:5" x14ac:dyDescent="0.25">
      <c r="A26" s="194">
        <f>+A25/A14</f>
        <v>2.379773304345487E-2</v>
      </c>
      <c r="B26" t="s">
        <v>600</v>
      </c>
    </row>
    <row r="27" spans="1:5" x14ac:dyDescent="0.25">
      <c r="A27" s="194"/>
    </row>
    <row r="28" spans="1:5" x14ac:dyDescent="0.25">
      <c r="A28" s="69" t="s">
        <v>625</v>
      </c>
    </row>
    <row r="29" spans="1:5" x14ac:dyDescent="0.25">
      <c r="A29" s="194">
        <v>3.8800000000000001E-2</v>
      </c>
      <c r="B29" t="s">
        <v>600</v>
      </c>
    </row>
    <row r="30" spans="1:5" x14ac:dyDescent="0.25">
      <c r="A30" s="191">
        <f>+A29*A14</f>
        <v>14362.197135999999</v>
      </c>
      <c r="B30" t="s">
        <v>611</v>
      </c>
    </row>
    <row r="32" spans="1:5" x14ac:dyDescent="0.25">
      <c r="A32" t="s">
        <v>614</v>
      </c>
      <c r="B32" s="191">
        <f>+A14</f>
        <v>370159.72</v>
      </c>
      <c r="C32" t="str">
        <f>+C33</f>
        <v xml:space="preserve"> GgCO2e </v>
      </c>
      <c r="D32" s="193">
        <v>1</v>
      </c>
    </row>
    <row r="33" spans="1:4" ht="45" x14ac:dyDescent="0.25">
      <c r="A33" s="75" t="s">
        <v>615</v>
      </c>
      <c r="B33" s="191">
        <v>3963.26</v>
      </c>
      <c r="C33" t="s">
        <v>616</v>
      </c>
      <c r="D33" s="195">
        <f>+B33*D32/B32</f>
        <v>1.0706891608843881E-2</v>
      </c>
    </row>
    <row r="35" spans="1:4" ht="45" x14ac:dyDescent="0.25">
      <c r="A35" s="75" t="s">
        <v>617</v>
      </c>
      <c r="B35" s="191">
        <v>40743.53</v>
      </c>
      <c r="C35" t="s">
        <v>611</v>
      </c>
      <c r="D35" s="195">
        <f>+B35*D32/B32</f>
        <v>0.11007013404916127</v>
      </c>
    </row>
  </sheetData>
  <mergeCells count="3">
    <mergeCell ref="E12:E15"/>
    <mergeCell ref="A7:A8"/>
    <mergeCell ref="C7:C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54"/>
  <sheetViews>
    <sheetView showGridLines="0" topLeftCell="A11" workbookViewId="0">
      <selection activeCell="L28" sqref="L28"/>
    </sheetView>
  </sheetViews>
  <sheetFormatPr baseColWidth="10" defaultColWidth="9.140625" defaultRowHeight="15" x14ac:dyDescent="0.25"/>
  <cols>
    <col min="1" max="1" width="2.28515625" customWidth="1"/>
    <col min="2" max="2" width="14.7109375" customWidth="1"/>
    <col min="3" max="3" width="12.85546875" style="36" customWidth="1"/>
    <col min="4" max="6" width="11.28515625" style="36" bestFit="1" customWidth="1"/>
    <col min="7" max="7" width="11.28515625" style="45" bestFit="1" customWidth="1"/>
    <col min="8" max="8" width="11.28515625" bestFit="1" customWidth="1"/>
    <col min="9" max="9" width="11.28515625" customWidth="1"/>
    <col min="10" max="11" width="11.28515625" bestFit="1" customWidth="1"/>
    <col min="12" max="12" width="13.140625" customWidth="1"/>
    <col min="13" max="13" width="11.28515625" bestFit="1" customWidth="1"/>
    <col min="14" max="17" width="11.7109375" customWidth="1"/>
    <col min="18" max="18" width="11" bestFit="1" customWidth="1"/>
    <col min="19" max="19" width="2.140625" customWidth="1"/>
    <col min="20" max="21" width="11.7109375" customWidth="1"/>
    <col min="22" max="22" width="11" bestFit="1" customWidth="1"/>
    <col min="23" max="23" width="2.85546875" customWidth="1"/>
    <col min="24" max="24" width="13.28515625" customWidth="1"/>
    <col min="25" max="25" width="11.7109375" customWidth="1"/>
  </cols>
  <sheetData>
    <row r="2" spans="2:29" ht="18.75" x14ac:dyDescent="0.25">
      <c r="C2" s="68" t="s">
        <v>59</v>
      </c>
      <c r="G2" s="214" t="s">
        <v>10</v>
      </c>
      <c r="H2" s="215"/>
      <c r="I2" s="215"/>
      <c r="J2" s="216"/>
    </row>
    <row r="3" spans="2:29" ht="18.75" x14ac:dyDescent="0.25">
      <c r="C3" s="68" t="s">
        <v>60</v>
      </c>
      <c r="G3" s="46" t="s">
        <v>39</v>
      </c>
      <c r="H3" s="47" t="s">
        <v>40</v>
      </c>
      <c r="I3" s="46" t="s">
        <v>41</v>
      </c>
      <c r="J3" s="48" t="s">
        <v>42</v>
      </c>
    </row>
    <row r="4" spans="2:29" x14ac:dyDescent="0.25">
      <c r="G4" s="49" t="s">
        <v>43</v>
      </c>
      <c r="H4" s="50" t="s">
        <v>44</v>
      </c>
      <c r="I4" s="49" t="s">
        <v>56</v>
      </c>
      <c r="J4" s="51" t="s">
        <v>44</v>
      </c>
    </row>
    <row r="5" spans="2:29" x14ac:dyDescent="0.25">
      <c r="B5" s="45" t="s">
        <v>62</v>
      </c>
      <c r="G5" s="57">
        <f>+'Datos factores de emisión'!C4</f>
        <v>1.9481959200000001</v>
      </c>
      <c r="H5" s="58">
        <f>+'Datos factores de emisión'!C5</f>
        <v>3.1722809066666686</v>
      </c>
      <c r="I5" s="58">
        <f>+'Datos factores de emisión'!E6</f>
        <v>2.6971705522666682</v>
      </c>
      <c r="J5" s="59">
        <f>+'Datos factores de emisión'!C7</f>
        <v>2.3352577600000002</v>
      </c>
    </row>
    <row r="6" spans="2:29" s="52" customFormat="1" ht="18.75" x14ac:dyDescent="0.3">
      <c r="B6" s="32" t="s">
        <v>31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2:29" s="52" customFormat="1" x14ac:dyDescent="0.25">
      <c r="B7" s="63" t="s">
        <v>32</v>
      </c>
      <c r="C7" s="61">
        <v>2007</v>
      </c>
      <c r="D7" s="61">
        <v>2008</v>
      </c>
      <c r="E7" s="61">
        <v>2009</v>
      </c>
      <c r="F7" s="61">
        <v>2010</v>
      </c>
      <c r="G7" s="61">
        <v>2011</v>
      </c>
      <c r="H7" s="61">
        <v>2012</v>
      </c>
      <c r="I7" s="61">
        <v>2013</v>
      </c>
      <c r="J7" s="61">
        <v>2014</v>
      </c>
      <c r="K7" s="61">
        <v>2015</v>
      </c>
      <c r="L7" s="61">
        <v>2016</v>
      </c>
      <c r="M7" s="61">
        <v>2017</v>
      </c>
      <c r="N7" s="62">
        <v>2018</v>
      </c>
      <c r="O7" s="62">
        <v>2019</v>
      </c>
    </row>
    <row r="8" spans="2:29" s="52" customFormat="1" x14ac:dyDescent="0.25">
      <c r="B8" s="40" t="s">
        <v>33</v>
      </c>
      <c r="C8" s="34">
        <v>61012</v>
      </c>
      <c r="D8" s="34">
        <v>66876.650047999996</v>
      </c>
      <c r="E8" s="34">
        <v>61386.076656999998</v>
      </c>
      <c r="F8" s="34">
        <v>66465.497273999994</v>
      </c>
      <c r="G8" s="34">
        <v>73572.585126999998</v>
      </c>
      <c r="H8" s="34">
        <v>82494.783599000002</v>
      </c>
      <c r="I8" s="34">
        <v>82953.195328000002</v>
      </c>
      <c r="J8" s="34">
        <v>83264.774349999992</v>
      </c>
      <c r="K8" s="34">
        <v>86625.120484999992</v>
      </c>
      <c r="L8" s="34">
        <v>90349.314901999998</v>
      </c>
      <c r="M8" s="34">
        <v>88837.759128999998</v>
      </c>
      <c r="N8" s="41">
        <v>87726.751174999998</v>
      </c>
      <c r="O8" s="77">
        <v>80691.377116000003</v>
      </c>
    </row>
    <row r="9" spans="2:29" s="52" customFormat="1" x14ac:dyDescent="0.25">
      <c r="B9" s="40" t="s">
        <v>34</v>
      </c>
      <c r="C9" s="34">
        <v>37290</v>
      </c>
      <c r="D9" s="34">
        <v>36881.906150000003</v>
      </c>
      <c r="E9" s="34">
        <v>40318.345394999997</v>
      </c>
      <c r="F9" s="34">
        <v>40226.360728</v>
      </c>
      <c r="G9" s="34">
        <v>39338.90160000007</v>
      </c>
      <c r="H9" s="34">
        <v>36625.904387000002</v>
      </c>
      <c r="I9" s="34">
        <v>40329.611722999995</v>
      </c>
      <c r="J9" s="34">
        <v>40663.423760000005</v>
      </c>
      <c r="K9" s="34">
        <v>41464.150890000004</v>
      </c>
      <c r="L9" s="34">
        <v>38012.039778999999</v>
      </c>
      <c r="M9" s="34">
        <v>41279.875892999997</v>
      </c>
      <c r="N9" s="41">
        <v>41383.595516000001</v>
      </c>
      <c r="O9" s="77">
        <v>36831.957420999999</v>
      </c>
    </row>
    <row r="10" spans="2:29" s="52" customFormat="1" x14ac:dyDescent="0.25">
      <c r="B10" s="40" t="s">
        <v>35</v>
      </c>
      <c r="C10" s="34">
        <v>6721</v>
      </c>
      <c r="D10" s="34">
        <v>6849.4417899999989</v>
      </c>
      <c r="E10" s="34">
        <v>7588.7033840000004</v>
      </c>
      <c r="F10" s="34">
        <v>6691.6382699999995</v>
      </c>
      <c r="G10" s="34">
        <v>5892.3634949999996</v>
      </c>
      <c r="H10" s="34">
        <v>5904.471442</v>
      </c>
      <c r="I10" s="34">
        <v>5732.4934480000002</v>
      </c>
      <c r="J10" s="34">
        <v>5257.7274459999999</v>
      </c>
      <c r="K10" s="34">
        <v>6518.524684</v>
      </c>
      <c r="L10" s="34">
        <v>7677.2923390000005</v>
      </c>
      <c r="M10" s="34">
        <v>5716.2278719999995</v>
      </c>
      <c r="N10" s="41">
        <v>6452.9178159999992</v>
      </c>
      <c r="O10" s="77">
        <v>7927.0774629999996</v>
      </c>
    </row>
    <row r="11" spans="2:29" s="52" customFormat="1" x14ac:dyDescent="0.25">
      <c r="B11" s="40" t="s">
        <v>36</v>
      </c>
      <c r="C11" s="34">
        <v>0</v>
      </c>
      <c r="D11" s="34">
        <v>0</v>
      </c>
      <c r="E11" s="34">
        <v>0</v>
      </c>
      <c r="F11" s="34">
        <v>0</v>
      </c>
      <c r="G11" s="34">
        <v>16</v>
      </c>
      <c r="H11" s="34">
        <v>356.43354899999997</v>
      </c>
      <c r="I11" s="34">
        <v>462.00596300000007</v>
      </c>
      <c r="J11" s="34">
        <v>629</v>
      </c>
      <c r="K11" s="34">
        <v>607.62161100000003</v>
      </c>
      <c r="L11" s="34">
        <v>561.03379200000006</v>
      </c>
      <c r="M11" s="34">
        <v>632.22291300000006</v>
      </c>
      <c r="N11" s="41">
        <v>1918.2714180000003</v>
      </c>
      <c r="O11" s="77">
        <v>5795.6513370000002</v>
      </c>
    </row>
    <row r="12" spans="2:29" s="52" customFormat="1" x14ac:dyDescent="0.25">
      <c r="B12" s="42" t="s">
        <v>37</v>
      </c>
      <c r="C12" s="43">
        <v>3459</v>
      </c>
      <c r="D12" s="43">
        <v>1774.1691440000004</v>
      </c>
      <c r="E12" s="43">
        <v>2040.0071840000003</v>
      </c>
      <c r="F12" s="43">
        <v>2351.035441</v>
      </c>
      <c r="G12" s="43">
        <v>2412.2453540000001</v>
      </c>
      <c r="H12" s="43">
        <v>422.76380499999999</v>
      </c>
      <c r="I12" s="43">
        <v>342.30882400000002</v>
      </c>
      <c r="J12" s="43">
        <v>1389.645775</v>
      </c>
      <c r="K12" s="43">
        <v>1654.636896</v>
      </c>
      <c r="L12" s="43">
        <v>1469.8891619999999</v>
      </c>
      <c r="M12" s="43">
        <v>733.88345500000003</v>
      </c>
      <c r="N12" s="44">
        <v>344</v>
      </c>
      <c r="O12" s="77">
        <v>2746.3402290000004</v>
      </c>
    </row>
    <row r="13" spans="2:29" s="52" customFormat="1" x14ac:dyDescent="0.25">
      <c r="B13" s="35" t="s">
        <v>38</v>
      </c>
      <c r="C13" s="35">
        <v>108482</v>
      </c>
      <c r="D13" s="35">
        <v>112382.167132</v>
      </c>
      <c r="E13" s="35">
        <v>111333.13262</v>
      </c>
      <c r="F13" s="35">
        <v>115734.531713</v>
      </c>
      <c r="G13" s="35">
        <v>121232.09557600001</v>
      </c>
      <c r="H13" s="35">
        <v>125804.35678200002</v>
      </c>
      <c r="I13" s="35">
        <v>129819.615286</v>
      </c>
      <c r="J13" s="35">
        <v>131204.601123</v>
      </c>
      <c r="K13" s="35">
        <v>136870.05456600001</v>
      </c>
      <c r="L13" s="35">
        <v>138069.56997400001</v>
      </c>
      <c r="M13" s="35">
        <v>137199.969262</v>
      </c>
      <c r="N13" s="35">
        <v>137825.07206599996</v>
      </c>
      <c r="O13" s="35">
        <v>133992.40356599999</v>
      </c>
    </row>
    <row r="15" spans="2:29" x14ac:dyDescent="0.25">
      <c r="B15" s="35" t="s">
        <v>61</v>
      </c>
      <c r="C15" s="35">
        <f>+C8+C12</f>
        <v>64471</v>
      </c>
      <c r="D15" s="35">
        <f t="shared" ref="D15:O15" si="0">+D8+D12</f>
        <v>68650.819191999995</v>
      </c>
      <c r="E15" s="35">
        <f t="shared" si="0"/>
        <v>63426.083841</v>
      </c>
      <c r="F15" s="35">
        <f t="shared" si="0"/>
        <v>68816.532714999994</v>
      </c>
      <c r="G15" s="35">
        <f t="shared" si="0"/>
        <v>75984.830480999997</v>
      </c>
      <c r="H15" s="35">
        <f t="shared" si="0"/>
        <v>82917.547403999997</v>
      </c>
      <c r="I15" s="35">
        <f t="shared" si="0"/>
        <v>83295.504152000009</v>
      </c>
      <c r="J15" s="35">
        <f t="shared" si="0"/>
        <v>84654.42012499999</v>
      </c>
      <c r="K15" s="35">
        <f t="shared" si="0"/>
        <v>88279.757380999989</v>
      </c>
      <c r="L15" s="35">
        <f t="shared" si="0"/>
        <v>91819.204064000005</v>
      </c>
      <c r="M15" s="35">
        <f t="shared" si="0"/>
        <v>89571.642584000001</v>
      </c>
      <c r="N15" s="35">
        <f t="shared" si="0"/>
        <v>88070.751174999998</v>
      </c>
      <c r="O15" s="35">
        <f t="shared" si="0"/>
        <v>83437.717344999997</v>
      </c>
    </row>
    <row r="17" spans="2:19" ht="30" x14ac:dyDescent="0.25">
      <c r="B17" s="60" t="s">
        <v>45</v>
      </c>
      <c r="C17" s="61">
        <v>2007</v>
      </c>
      <c r="D17" s="61">
        <v>2008</v>
      </c>
      <c r="E17" s="61">
        <v>2009</v>
      </c>
      <c r="F17" s="61">
        <v>2010</v>
      </c>
      <c r="G17" s="61">
        <v>2011</v>
      </c>
      <c r="H17" s="61">
        <v>2012</v>
      </c>
      <c r="I17" s="61">
        <v>2013</v>
      </c>
      <c r="J17" s="61">
        <v>2014</v>
      </c>
      <c r="K17" s="61">
        <v>2015</v>
      </c>
      <c r="L17" s="61">
        <v>2016</v>
      </c>
      <c r="M17" s="61">
        <v>2017</v>
      </c>
      <c r="N17" s="62">
        <v>2018</v>
      </c>
      <c r="O17" s="62">
        <v>2019</v>
      </c>
      <c r="P17" s="53"/>
      <c r="Q17" s="53"/>
      <c r="R17" s="53"/>
      <c r="S17" s="54"/>
    </row>
    <row r="18" spans="2:19" ht="30" x14ac:dyDescent="0.25">
      <c r="B18" s="40" t="s">
        <v>46</v>
      </c>
      <c r="C18" s="34">
        <v>11980.546</v>
      </c>
      <c r="D18" s="34">
        <v>13093.127410000001</v>
      </c>
      <c r="E18" s="34">
        <v>12601.360920000001</v>
      </c>
      <c r="F18" s="34">
        <v>11537.487799999999</v>
      </c>
      <c r="G18" s="34">
        <v>12674.162765000023</v>
      </c>
      <c r="H18" s="34">
        <v>14036.813905999987</v>
      </c>
      <c r="I18" s="34">
        <v>13952.133607</v>
      </c>
      <c r="J18" s="34">
        <v>14355.088181000003</v>
      </c>
      <c r="K18" s="34">
        <v>14418.440156000002</v>
      </c>
      <c r="L18" s="34">
        <v>15588.561777999996</v>
      </c>
      <c r="M18" s="34">
        <v>17119.008153999999</v>
      </c>
      <c r="N18" s="41">
        <v>18035.690708000006</v>
      </c>
      <c r="O18" s="34">
        <v>17210.758731000002</v>
      </c>
    </row>
    <row r="19" spans="2:19" x14ac:dyDescent="0.25">
      <c r="B19" s="40" t="s">
        <v>47</v>
      </c>
      <c r="C19" s="34">
        <v>1897.2249999999999</v>
      </c>
      <c r="D19" s="34">
        <v>2347.2489300000007</v>
      </c>
      <c r="E19" s="34">
        <v>1603.2688400000002</v>
      </c>
      <c r="F19" s="34">
        <v>2261.8278100000002</v>
      </c>
      <c r="G19" s="34">
        <v>2573.4918140000027</v>
      </c>
      <c r="H19" s="34">
        <v>2859.6791680000001</v>
      </c>
      <c r="I19" s="34">
        <v>2232.8449560000004</v>
      </c>
      <c r="J19" s="34">
        <v>2717.2653169999999</v>
      </c>
      <c r="K19" s="34">
        <v>3088.2043600000002</v>
      </c>
      <c r="L19" s="34">
        <v>2650.6006200000002</v>
      </c>
      <c r="M19" s="34">
        <v>1286.1189139999997</v>
      </c>
      <c r="N19" s="41">
        <v>565.04226500000016</v>
      </c>
      <c r="O19" s="34">
        <v>185.59244400000009</v>
      </c>
    </row>
    <row r="20" spans="2:19" x14ac:dyDescent="0.25">
      <c r="B20" s="40" t="s">
        <v>48</v>
      </c>
      <c r="C20" s="34">
        <v>766.15499999999997</v>
      </c>
      <c r="D20" s="34">
        <v>842.65462999999988</v>
      </c>
      <c r="E20" s="34">
        <v>976.7199300000002</v>
      </c>
      <c r="F20" s="34">
        <v>1667.67318</v>
      </c>
      <c r="G20" s="34">
        <v>2019.3220569999983</v>
      </c>
      <c r="H20" s="34">
        <v>1828.2728080000043</v>
      </c>
      <c r="I20" s="34">
        <v>2593.1968979999997</v>
      </c>
      <c r="J20" s="34">
        <v>1799.1537240000007</v>
      </c>
      <c r="K20" s="34">
        <v>2239.7080899999992</v>
      </c>
      <c r="L20" s="34">
        <v>2380.8723730000002</v>
      </c>
      <c r="M20" s="34">
        <v>1397.1347919999998</v>
      </c>
      <c r="N20" s="41">
        <v>875.01910099999975</v>
      </c>
      <c r="O20" s="34">
        <v>403.87882900000085</v>
      </c>
    </row>
    <row r="21" spans="2:19" x14ac:dyDescent="0.25">
      <c r="B21" s="40" t="s">
        <v>49</v>
      </c>
      <c r="C21" s="34">
        <v>589.35799999999995</v>
      </c>
      <c r="D21" s="34">
        <v>803.42490999999995</v>
      </c>
      <c r="E21" s="34">
        <v>795.74670000000003</v>
      </c>
      <c r="F21" s="34">
        <v>873.90400999999997</v>
      </c>
      <c r="G21" s="34">
        <v>999.0139099999999</v>
      </c>
      <c r="H21" s="34">
        <v>966.57503900000029</v>
      </c>
      <c r="I21" s="34">
        <v>851.27832000000012</v>
      </c>
      <c r="J21" s="34">
        <v>1004.376563</v>
      </c>
      <c r="K21" s="34">
        <v>949.100955</v>
      </c>
      <c r="L21" s="34">
        <v>725.26185500000008</v>
      </c>
      <c r="M21" s="34">
        <v>653.61727899999994</v>
      </c>
      <c r="N21" s="41">
        <v>657.31650999999999</v>
      </c>
      <c r="O21" s="34">
        <v>221.84211800000003</v>
      </c>
    </row>
    <row r="22" spans="2:19" x14ac:dyDescent="0.25">
      <c r="B22" s="42" t="s">
        <v>50</v>
      </c>
      <c r="C22" s="43">
        <v>0</v>
      </c>
      <c r="D22" s="43">
        <v>0</v>
      </c>
      <c r="E22" s="43">
        <v>0</v>
      </c>
      <c r="F22" s="43">
        <v>0</v>
      </c>
      <c r="G22" s="43">
        <v>6.9455530000000003</v>
      </c>
      <c r="H22" s="43">
        <v>39.257985999999995</v>
      </c>
      <c r="I22" s="43">
        <v>1.0654950000000001</v>
      </c>
      <c r="J22" s="43">
        <v>0.37859399999999999</v>
      </c>
      <c r="K22" s="43">
        <v>0</v>
      </c>
      <c r="L22" s="43">
        <v>0.19539199999999998</v>
      </c>
      <c r="M22" s="43">
        <v>0</v>
      </c>
      <c r="N22" s="44">
        <v>0</v>
      </c>
      <c r="O22" s="78">
        <v>0</v>
      </c>
    </row>
    <row r="23" spans="2:19" x14ac:dyDescent="0.25">
      <c r="B23" s="56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</row>
    <row r="24" spans="2:19" x14ac:dyDescent="0.25">
      <c r="B24" s="60" t="s">
        <v>58</v>
      </c>
      <c r="C24" s="61">
        <v>2007</v>
      </c>
      <c r="D24" s="61">
        <v>2008</v>
      </c>
      <c r="E24" s="61">
        <v>2009</v>
      </c>
      <c r="F24" s="61">
        <v>2010</v>
      </c>
      <c r="G24" s="61">
        <v>2011</v>
      </c>
      <c r="H24" s="61">
        <v>2012</v>
      </c>
      <c r="I24" s="61">
        <v>2013</v>
      </c>
      <c r="J24" s="61">
        <v>2014</v>
      </c>
      <c r="K24" s="61">
        <v>2015</v>
      </c>
      <c r="L24" s="61">
        <v>2016</v>
      </c>
      <c r="M24" s="61">
        <v>2017</v>
      </c>
      <c r="N24" s="62">
        <v>2018</v>
      </c>
      <c r="O24" s="62">
        <v>2019</v>
      </c>
    </row>
    <row r="25" spans="2:19" x14ac:dyDescent="0.25">
      <c r="B25" s="37" t="s">
        <v>51</v>
      </c>
      <c r="C25" s="38">
        <f t="shared" ref="C25:O25" si="1">+C18*$G$5*1000</f>
        <v>23340450.836572323</v>
      </c>
      <c r="D25" s="38">
        <f t="shared" si="1"/>
        <v>25507977.40020217</v>
      </c>
      <c r="E25" s="38">
        <f t="shared" si="1"/>
        <v>24549919.930791449</v>
      </c>
      <c r="F25" s="38">
        <f>+F18*$G$5*1000</f>
        <v>22477286.659009777</v>
      </c>
      <c r="G25" s="38">
        <f t="shared" si="1"/>
        <v>24691752.188188963</v>
      </c>
      <c r="H25" s="38">
        <f t="shared" si="1"/>
        <v>27346463.581468437</v>
      </c>
      <c r="I25" s="38">
        <f t="shared" si="1"/>
        <v>27181489.768452283</v>
      </c>
      <c r="J25" s="38">
        <f t="shared" si="1"/>
        <v>27966524.22546443</v>
      </c>
      <c r="K25" s="38">
        <f t="shared" si="1"/>
        <v>28089946.284683369</v>
      </c>
      <c r="L25" s="38">
        <f t="shared" si="1"/>
        <v>30369572.45456754</v>
      </c>
      <c r="M25" s="38">
        <f t="shared" si="1"/>
        <v>33351181.840069532</v>
      </c>
      <c r="N25" s="39">
        <f t="shared" si="1"/>
        <v>35137059.051707529</v>
      </c>
      <c r="O25" s="39">
        <f t="shared" si="1"/>
        <v>33529929.939838585</v>
      </c>
    </row>
    <row r="26" spans="2:19" x14ac:dyDescent="0.25">
      <c r="B26" s="40" t="s">
        <v>52</v>
      </c>
      <c r="C26" s="34">
        <f t="shared" ref="C26:O26" si="2">+C19*$H$5*1000</f>
        <v>6018530.6431506695</v>
      </c>
      <c r="D26" s="34">
        <f t="shared" si="2"/>
        <v>7446132.9638327695</v>
      </c>
      <c r="E26" s="34">
        <f t="shared" si="2"/>
        <v>5086019.1293856185</v>
      </c>
      <c r="F26" s="34">
        <f t="shared" si="2"/>
        <v>7175153.1758306865</v>
      </c>
      <c r="G26" s="34">
        <f t="shared" si="2"/>
        <v>8163838.9450151781</v>
      </c>
      <c r="H26" s="34">
        <f t="shared" si="2"/>
        <v>9071705.6238388252</v>
      </c>
      <c r="I26" s="34">
        <f t="shared" si="2"/>
        <v>7083211.4214657787</v>
      </c>
      <c r="J26" s="34">
        <f t="shared" si="2"/>
        <v>8619928.8834666535</v>
      </c>
      <c r="K26" s="34">
        <f t="shared" si="2"/>
        <v>9796651.7271127589</v>
      </c>
      <c r="L26" s="34">
        <f t="shared" si="2"/>
        <v>8408449.7380248345</v>
      </c>
      <c r="M26" s="34">
        <f t="shared" si="2"/>
        <v>4079930.4745850698</v>
      </c>
      <c r="N26" s="34">
        <f t="shared" si="2"/>
        <v>1792472.7887191884</v>
      </c>
      <c r="O26" s="34">
        <f t="shared" si="2"/>
        <v>588751.3665228032</v>
      </c>
    </row>
    <row r="27" spans="2:19" x14ac:dyDescent="0.25">
      <c r="B27" s="40" t="s">
        <v>53</v>
      </c>
      <c r="C27" s="34">
        <f t="shared" ref="C27:O27" si="3">+C20*$I$5*1000</f>
        <v>2066450.7044718694</v>
      </c>
      <c r="D27" s="34">
        <f t="shared" si="3"/>
        <v>2272783.2537671649</v>
      </c>
      <c r="E27" s="34">
        <f t="shared" si="3"/>
        <v>2634380.2330079619</v>
      </c>
      <c r="F27" s="34">
        <f t="shared" si="3"/>
        <v>4497998.9919009116</v>
      </c>
      <c r="G27" s="34">
        <f t="shared" si="3"/>
        <v>5446455.9876829498</v>
      </c>
      <c r="H27" s="34">
        <f t="shared" si="3"/>
        <v>4931163.5792475035</v>
      </c>
      <c r="I27" s="34">
        <f t="shared" si="3"/>
        <v>6994294.3095148699</v>
      </c>
      <c r="J27" s="34">
        <f t="shared" si="3"/>
        <v>4852624.4433737146</v>
      </c>
      <c r="K27" s="34">
        <f t="shared" si="3"/>
        <v>6040874.7060214225</v>
      </c>
      <c r="L27" s="34">
        <f t="shared" si="3"/>
        <v>6421618.8531608628</v>
      </c>
      <c r="M27" s="34">
        <f t="shared" si="3"/>
        <v>3768310.8185296166</v>
      </c>
      <c r="N27" s="34">
        <f t="shared" si="3"/>
        <v>2360075.7518880526</v>
      </c>
      <c r="O27" s="34">
        <f t="shared" si="3"/>
        <v>1089330.0842627476</v>
      </c>
    </row>
    <row r="28" spans="2:19" x14ac:dyDescent="0.25">
      <c r="B28" s="40" t="s">
        <v>54</v>
      </c>
      <c r="C28" s="34">
        <f t="shared" ref="C28:O28" si="4">+C21*$J$5*1000</f>
        <v>1376302.84291808</v>
      </c>
      <c r="D28" s="34">
        <f t="shared" si="4"/>
        <v>1876204.2556548016</v>
      </c>
      <c r="E28" s="34">
        <f t="shared" si="4"/>
        <v>1858273.6561693924</v>
      </c>
      <c r="F28" s="34">
        <f t="shared" si="4"/>
        <v>2040791.1208476177</v>
      </c>
      <c r="G28" s="34">
        <f t="shared" si="4"/>
        <v>2332954.9856754416</v>
      </c>
      <c r="H28" s="34">
        <f t="shared" si="4"/>
        <v>2257201.8604470538</v>
      </c>
      <c r="I28" s="34">
        <f t="shared" si="4"/>
        <v>1987954.3026997638</v>
      </c>
      <c r="J28" s="34">
        <f t="shared" si="4"/>
        <v>2345478.1627078792</v>
      </c>
      <c r="K28" s="34">
        <f t="shared" si="4"/>
        <v>2216395.370187161</v>
      </c>
      <c r="L28" s="34">
        <f t="shared" si="4"/>
        <v>1693673.3749207451</v>
      </c>
      <c r="M28" s="34">
        <f t="shared" si="4"/>
        <v>1526364.8228548351</v>
      </c>
      <c r="N28" s="34">
        <f t="shared" si="4"/>
        <v>1535003.4807536176</v>
      </c>
      <c r="O28" s="34">
        <f t="shared" si="4"/>
        <v>518058.52755433577</v>
      </c>
    </row>
    <row r="29" spans="2:19" x14ac:dyDescent="0.25">
      <c r="B29" s="42" t="s">
        <v>55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44"/>
    </row>
    <row r="30" spans="2:19" x14ac:dyDescent="0.25">
      <c r="B30" s="64" t="s">
        <v>30</v>
      </c>
      <c r="C30" s="65">
        <f>+SUM(C25:C29)</f>
        <v>32801735.027112942</v>
      </c>
      <c r="D30" s="65">
        <f t="shared" ref="D30:O30" si="5">+SUM(D25:D29)</f>
        <v>37103097.87345691</v>
      </c>
      <c r="E30" s="65">
        <f t="shared" si="5"/>
        <v>34128592.949354418</v>
      </c>
      <c r="F30" s="65">
        <f t="shared" si="5"/>
        <v>36191229.947588995</v>
      </c>
      <c r="G30" s="65">
        <f t="shared" si="5"/>
        <v>40635002.106562525</v>
      </c>
      <c r="H30" s="65">
        <f t="shared" si="5"/>
        <v>43606534.645001821</v>
      </c>
      <c r="I30" s="65">
        <f t="shared" si="5"/>
        <v>43246949.802132703</v>
      </c>
      <c r="J30" s="65">
        <f t="shared" si="5"/>
        <v>43784555.715012677</v>
      </c>
      <c r="K30" s="65">
        <f t="shared" si="5"/>
        <v>46143868.088004716</v>
      </c>
      <c r="L30" s="65">
        <f t="shared" si="5"/>
        <v>46893314.420673989</v>
      </c>
      <c r="M30" s="65">
        <f t="shared" si="5"/>
        <v>42725787.956039049</v>
      </c>
      <c r="N30" s="65">
        <f t="shared" si="5"/>
        <v>40824611.07306838</v>
      </c>
      <c r="O30" s="79">
        <f t="shared" si="5"/>
        <v>35726069.918178469</v>
      </c>
      <c r="P30" s="80"/>
    </row>
    <row r="32" spans="2:19" ht="33" x14ac:dyDescent="0.25">
      <c r="B32" s="66" t="s">
        <v>57</v>
      </c>
      <c r="C32" s="67">
        <f>+C30/C15/1000</f>
        <v>0.5087827864793929</v>
      </c>
      <c r="D32" s="67">
        <f t="shared" ref="D32:O32" si="6">+D30/D15/1000</f>
        <v>0.54046110898820277</v>
      </c>
      <c r="E32" s="67">
        <f t="shared" si="6"/>
        <v>0.53808450534183783</v>
      </c>
      <c r="F32" s="67">
        <f t="shared" si="6"/>
        <v>0.5259089425134662</v>
      </c>
      <c r="G32" s="67">
        <f t="shared" si="6"/>
        <v>0.53477782143270425</v>
      </c>
      <c r="H32" s="67">
        <f t="shared" si="6"/>
        <v>0.52590236940484103</v>
      </c>
      <c r="I32" s="67">
        <f t="shared" si="6"/>
        <v>0.51919908814303395</v>
      </c>
      <c r="J32" s="67">
        <f t="shared" si="6"/>
        <v>0.51721523401094449</v>
      </c>
      <c r="K32" s="67">
        <f t="shared" si="6"/>
        <v>0.52270044070075838</v>
      </c>
      <c r="L32" s="67">
        <f t="shared" si="6"/>
        <v>0.51071358000433453</v>
      </c>
      <c r="M32" s="67">
        <f t="shared" si="6"/>
        <v>0.47700127767525241</v>
      </c>
      <c r="N32" s="67">
        <f t="shared" si="6"/>
        <v>0.46354335041321826</v>
      </c>
      <c r="O32" s="67">
        <f t="shared" si="6"/>
        <v>0.42817650164682208</v>
      </c>
    </row>
    <row r="33" spans="2:16" ht="60" x14ac:dyDescent="0.25">
      <c r="B33" s="82" t="s">
        <v>57</v>
      </c>
      <c r="C33" s="81">
        <f>+C30/(C13*1000)</f>
        <v>0.3023703013137013</v>
      </c>
      <c r="D33" s="81">
        <f t="shared" ref="D33:N33" si="7">+D30/(D13*1000)</f>
        <v>0.33015111578936684</v>
      </c>
      <c r="E33" s="81">
        <f t="shared" si="7"/>
        <v>0.30654480069146567</v>
      </c>
      <c r="F33" s="81">
        <f t="shared" si="7"/>
        <v>0.31270900233420806</v>
      </c>
      <c r="G33" s="81">
        <f t="shared" si="7"/>
        <v>0.33518353298684483</v>
      </c>
      <c r="H33" s="81">
        <f t="shared" si="7"/>
        <v>0.34662181629023681</v>
      </c>
      <c r="I33" s="81">
        <f t="shared" si="7"/>
        <v>0.33313108891023296</v>
      </c>
      <c r="J33" s="81">
        <f t="shared" si="7"/>
        <v>0.33371204470158861</v>
      </c>
      <c r="K33" s="81">
        <f t="shared" si="7"/>
        <v>0.33713633149575251</v>
      </c>
      <c r="L33" s="81">
        <f t="shared" si="7"/>
        <v>0.33963540575598594</v>
      </c>
      <c r="M33" s="81">
        <f t="shared" si="7"/>
        <v>0.31141251842738371</v>
      </c>
      <c r="N33" s="81">
        <f t="shared" si="7"/>
        <v>0.29620598386858671</v>
      </c>
      <c r="O33" s="81">
        <f>+O30/(O13*1000)</f>
        <v>0.26662757714157315</v>
      </c>
      <c r="P33" s="83" t="s">
        <v>82</v>
      </c>
    </row>
    <row r="34" spans="2:16" x14ac:dyDescent="0.25">
      <c r="B34" s="73" t="s">
        <v>78</v>
      </c>
    </row>
    <row r="35" spans="2:16" ht="18" customHeight="1" x14ac:dyDescent="0.25">
      <c r="B35" s="217" t="s">
        <v>79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</row>
    <row r="36" spans="2:16" x14ac:dyDescent="0.25"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</row>
    <row r="37" spans="2:16" x14ac:dyDescent="0.25"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</row>
    <row r="38" spans="2:16" ht="6" customHeight="1" x14ac:dyDescent="0.25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</row>
    <row r="39" spans="2:16" x14ac:dyDescent="0.25">
      <c r="B39" s="73" t="s">
        <v>80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</row>
    <row r="40" spans="2:16" ht="5.25" customHeight="1" x14ac:dyDescent="0.25"/>
    <row r="41" spans="2:16" ht="15" customHeight="1" x14ac:dyDescent="0.25">
      <c r="B41" s="213" t="s">
        <v>81</v>
      </c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</row>
    <row r="42" spans="2:16" x14ac:dyDescent="0.25"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</row>
    <row r="43" spans="2:16" x14ac:dyDescent="0.25"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</row>
    <row r="47" spans="2:16" x14ac:dyDescent="0.25">
      <c r="C47" s="69" t="s">
        <v>63</v>
      </c>
      <c r="D47"/>
      <c r="E47"/>
      <c r="F47"/>
      <c r="G47"/>
    </row>
    <row r="48" spans="2:16" ht="18" x14ac:dyDescent="0.35">
      <c r="C48" s="71" t="s">
        <v>68</v>
      </c>
      <c r="D48" s="70" t="s">
        <v>67</v>
      </c>
      <c r="E48" s="70"/>
      <c r="F48" s="70"/>
      <c r="G48" s="70"/>
      <c r="H48" s="70"/>
      <c r="I48" s="70"/>
      <c r="J48" s="70"/>
      <c r="K48" s="70"/>
      <c r="L48" s="70"/>
    </row>
    <row r="49" spans="3:12" ht="18" x14ac:dyDescent="0.35">
      <c r="C49" s="71" t="s">
        <v>69</v>
      </c>
      <c r="D49" s="70" t="s">
        <v>73</v>
      </c>
      <c r="E49" s="70"/>
      <c r="F49" s="70"/>
      <c r="G49" s="70"/>
      <c r="H49" s="70"/>
      <c r="I49" s="70"/>
      <c r="J49" s="70"/>
      <c r="K49" s="70"/>
      <c r="L49" s="70"/>
    </row>
    <row r="50" spans="3:12" x14ac:dyDescent="0.25">
      <c r="C50" s="71" t="s">
        <v>70</v>
      </c>
      <c r="D50" s="70" t="s">
        <v>66</v>
      </c>
      <c r="E50" s="70"/>
      <c r="F50" s="70"/>
      <c r="G50" s="70"/>
      <c r="H50" s="70"/>
      <c r="I50" s="70"/>
      <c r="J50" s="70"/>
      <c r="K50" s="70"/>
      <c r="L50" s="70"/>
    </row>
    <row r="51" spans="3:12" ht="18" x14ac:dyDescent="0.35">
      <c r="C51" s="71" t="s">
        <v>71</v>
      </c>
      <c r="D51" s="70" t="s">
        <v>74</v>
      </c>
      <c r="E51" s="70"/>
      <c r="F51" s="70"/>
      <c r="G51" s="70"/>
      <c r="H51" s="70"/>
      <c r="I51" s="70"/>
      <c r="J51" s="70"/>
      <c r="K51" s="70"/>
      <c r="L51" s="70"/>
    </row>
    <row r="52" spans="3:12" ht="18" customHeight="1" x14ac:dyDescent="0.35">
      <c r="C52" s="71" t="s">
        <v>75</v>
      </c>
      <c r="D52" s="76" t="s">
        <v>76</v>
      </c>
      <c r="E52" s="72"/>
      <c r="F52" s="72"/>
      <c r="G52" s="72"/>
      <c r="H52" s="72"/>
      <c r="I52" s="72"/>
      <c r="J52" s="72"/>
      <c r="K52" s="72"/>
      <c r="L52" s="72"/>
    </row>
    <row r="53" spans="3:12" x14ac:dyDescent="0.25">
      <c r="C53" s="71" t="s">
        <v>72</v>
      </c>
      <c r="D53" s="70" t="s">
        <v>77</v>
      </c>
      <c r="E53" s="70"/>
      <c r="F53" s="70"/>
      <c r="G53" s="70"/>
      <c r="H53" s="70"/>
      <c r="I53" s="70"/>
      <c r="J53" s="70"/>
      <c r="K53" s="70"/>
      <c r="L53" s="70"/>
    </row>
    <row r="54" spans="3:12" x14ac:dyDescent="0.25">
      <c r="C54" s="71" t="s">
        <v>64</v>
      </c>
      <c r="D54" s="70" t="s">
        <v>65</v>
      </c>
      <c r="E54" s="70"/>
      <c r="F54" s="70"/>
      <c r="G54" s="70"/>
      <c r="H54" s="70"/>
      <c r="I54" s="70"/>
      <c r="J54" s="70"/>
      <c r="K54" s="70"/>
      <c r="L54" s="70"/>
    </row>
  </sheetData>
  <mergeCells count="3">
    <mergeCell ref="B41:O42"/>
    <mergeCell ref="G2:J2"/>
    <mergeCell ref="B35:O3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showGridLines="0" workbookViewId="0">
      <selection activeCell="D12" sqref="D12"/>
    </sheetView>
  </sheetViews>
  <sheetFormatPr baseColWidth="10" defaultRowHeight="15" x14ac:dyDescent="0.25"/>
  <cols>
    <col min="1" max="1" width="5.85546875" customWidth="1"/>
    <col min="2" max="2" width="28.140625" bestFit="1" customWidth="1"/>
    <col min="3" max="3" width="12.42578125" customWidth="1"/>
    <col min="4" max="4" width="13.28515625" customWidth="1"/>
    <col min="5" max="5" width="10.42578125" customWidth="1"/>
    <col min="8" max="8" width="14.42578125" bestFit="1" customWidth="1"/>
    <col min="9" max="9" width="14.28515625" customWidth="1"/>
    <col min="13" max="13" width="14.42578125" bestFit="1" customWidth="1"/>
    <col min="17" max="17" width="15.85546875" customWidth="1"/>
    <col min="262" max="262" width="28.140625" bestFit="1" customWidth="1"/>
    <col min="263" max="263" width="12.42578125" customWidth="1"/>
    <col min="264" max="264" width="13.28515625" customWidth="1"/>
    <col min="518" max="518" width="28.140625" bestFit="1" customWidth="1"/>
    <col min="519" max="519" width="12.42578125" customWidth="1"/>
    <col min="520" max="520" width="13.28515625" customWidth="1"/>
    <col min="774" max="774" width="28.140625" bestFit="1" customWidth="1"/>
    <col min="775" max="775" width="12.42578125" customWidth="1"/>
    <col min="776" max="776" width="13.28515625" customWidth="1"/>
    <col min="1030" max="1030" width="28.140625" bestFit="1" customWidth="1"/>
    <col min="1031" max="1031" width="12.42578125" customWidth="1"/>
    <col min="1032" max="1032" width="13.28515625" customWidth="1"/>
    <col min="1286" max="1286" width="28.140625" bestFit="1" customWidth="1"/>
    <col min="1287" max="1287" width="12.42578125" customWidth="1"/>
    <col min="1288" max="1288" width="13.28515625" customWidth="1"/>
    <col min="1542" max="1542" width="28.140625" bestFit="1" customWidth="1"/>
    <col min="1543" max="1543" width="12.42578125" customWidth="1"/>
    <col min="1544" max="1544" width="13.28515625" customWidth="1"/>
    <col min="1798" max="1798" width="28.140625" bestFit="1" customWidth="1"/>
    <col min="1799" max="1799" width="12.42578125" customWidth="1"/>
    <col min="1800" max="1800" width="13.28515625" customWidth="1"/>
    <col min="2054" max="2054" width="28.140625" bestFit="1" customWidth="1"/>
    <col min="2055" max="2055" width="12.42578125" customWidth="1"/>
    <col min="2056" max="2056" width="13.28515625" customWidth="1"/>
    <col min="2310" max="2310" width="28.140625" bestFit="1" customWidth="1"/>
    <col min="2311" max="2311" width="12.42578125" customWidth="1"/>
    <col min="2312" max="2312" width="13.28515625" customWidth="1"/>
    <col min="2566" max="2566" width="28.140625" bestFit="1" customWidth="1"/>
    <col min="2567" max="2567" width="12.42578125" customWidth="1"/>
    <col min="2568" max="2568" width="13.28515625" customWidth="1"/>
    <col min="2822" max="2822" width="28.140625" bestFit="1" customWidth="1"/>
    <col min="2823" max="2823" width="12.42578125" customWidth="1"/>
    <col min="2824" max="2824" width="13.28515625" customWidth="1"/>
    <col min="3078" max="3078" width="28.140625" bestFit="1" customWidth="1"/>
    <col min="3079" max="3079" width="12.42578125" customWidth="1"/>
    <col min="3080" max="3080" width="13.28515625" customWidth="1"/>
    <col min="3334" max="3334" width="28.140625" bestFit="1" customWidth="1"/>
    <col min="3335" max="3335" width="12.42578125" customWidth="1"/>
    <col min="3336" max="3336" width="13.28515625" customWidth="1"/>
    <col min="3590" max="3590" width="28.140625" bestFit="1" customWidth="1"/>
    <col min="3591" max="3591" width="12.42578125" customWidth="1"/>
    <col min="3592" max="3592" width="13.28515625" customWidth="1"/>
    <col min="3846" max="3846" width="28.140625" bestFit="1" customWidth="1"/>
    <col min="3847" max="3847" width="12.42578125" customWidth="1"/>
    <col min="3848" max="3848" width="13.28515625" customWidth="1"/>
    <col min="4102" max="4102" width="28.140625" bestFit="1" customWidth="1"/>
    <col min="4103" max="4103" width="12.42578125" customWidth="1"/>
    <col min="4104" max="4104" width="13.28515625" customWidth="1"/>
    <col min="4358" max="4358" width="28.140625" bestFit="1" customWidth="1"/>
    <col min="4359" max="4359" width="12.42578125" customWidth="1"/>
    <col min="4360" max="4360" width="13.28515625" customWidth="1"/>
    <col min="4614" max="4614" width="28.140625" bestFit="1" customWidth="1"/>
    <col min="4615" max="4615" width="12.42578125" customWidth="1"/>
    <col min="4616" max="4616" width="13.28515625" customWidth="1"/>
    <col min="4870" max="4870" width="28.140625" bestFit="1" customWidth="1"/>
    <col min="4871" max="4871" width="12.42578125" customWidth="1"/>
    <col min="4872" max="4872" width="13.28515625" customWidth="1"/>
    <col min="5126" max="5126" width="28.140625" bestFit="1" customWidth="1"/>
    <col min="5127" max="5127" width="12.42578125" customWidth="1"/>
    <col min="5128" max="5128" width="13.28515625" customWidth="1"/>
    <col min="5382" max="5382" width="28.140625" bestFit="1" customWidth="1"/>
    <col min="5383" max="5383" width="12.42578125" customWidth="1"/>
    <col min="5384" max="5384" width="13.28515625" customWidth="1"/>
    <col min="5638" max="5638" width="28.140625" bestFit="1" customWidth="1"/>
    <col min="5639" max="5639" width="12.42578125" customWidth="1"/>
    <col min="5640" max="5640" width="13.28515625" customWidth="1"/>
    <col min="5894" max="5894" width="28.140625" bestFit="1" customWidth="1"/>
    <col min="5895" max="5895" width="12.42578125" customWidth="1"/>
    <col min="5896" max="5896" width="13.28515625" customWidth="1"/>
    <col min="6150" max="6150" width="28.140625" bestFit="1" customWidth="1"/>
    <col min="6151" max="6151" width="12.42578125" customWidth="1"/>
    <col min="6152" max="6152" width="13.28515625" customWidth="1"/>
    <col min="6406" max="6406" width="28.140625" bestFit="1" customWidth="1"/>
    <col min="6407" max="6407" width="12.42578125" customWidth="1"/>
    <col min="6408" max="6408" width="13.28515625" customWidth="1"/>
    <col min="6662" max="6662" width="28.140625" bestFit="1" customWidth="1"/>
    <col min="6663" max="6663" width="12.42578125" customWidth="1"/>
    <col min="6664" max="6664" width="13.28515625" customWidth="1"/>
    <col min="6918" max="6918" width="28.140625" bestFit="1" customWidth="1"/>
    <col min="6919" max="6919" width="12.42578125" customWidth="1"/>
    <col min="6920" max="6920" width="13.28515625" customWidth="1"/>
    <col min="7174" max="7174" width="28.140625" bestFit="1" customWidth="1"/>
    <col min="7175" max="7175" width="12.42578125" customWidth="1"/>
    <col min="7176" max="7176" width="13.28515625" customWidth="1"/>
    <col min="7430" max="7430" width="28.140625" bestFit="1" customWidth="1"/>
    <col min="7431" max="7431" width="12.42578125" customWidth="1"/>
    <col min="7432" max="7432" width="13.28515625" customWidth="1"/>
    <col min="7686" max="7686" width="28.140625" bestFit="1" customWidth="1"/>
    <col min="7687" max="7687" width="12.42578125" customWidth="1"/>
    <col min="7688" max="7688" width="13.28515625" customWidth="1"/>
    <col min="7942" max="7942" width="28.140625" bestFit="1" customWidth="1"/>
    <col min="7943" max="7943" width="12.42578125" customWidth="1"/>
    <col min="7944" max="7944" width="13.28515625" customWidth="1"/>
    <col min="8198" max="8198" width="28.140625" bestFit="1" customWidth="1"/>
    <col min="8199" max="8199" width="12.42578125" customWidth="1"/>
    <col min="8200" max="8200" width="13.28515625" customWidth="1"/>
    <col min="8454" max="8454" width="28.140625" bestFit="1" customWidth="1"/>
    <col min="8455" max="8455" width="12.42578125" customWidth="1"/>
    <col min="8456" max="8456" width="13.28515625" customWidth="1"/>
    <col min="8710" max="8710" width="28.140625" bestFit="1" customWidth="1"/>
    <col min="8711" max="8711" width="12.42578125" customWidth="1"/>
    <col min="8712" max="8712" width="13.28515625" customWidth="1"/>
    <col min="8966" max="8966" width="28.140625" bestFit="1" customWidth="1"/>
    <col min="8967" max="8967" width="12.42578125" customWidth="1"/>
    <col min="8968" max="8968" width="13.28515625" customWidth="1"/>
    <col min="9222" max="9222" width="28.140625" bestFit="1" customWidth="1"/>
    <col min="9223" max="9223" width="12.42578125" customWidth="1"/>
    <col min="9224" max="9224" width="13.28515625" customWidth="1"/>
    <col min="9478" max="9478" width="28.140625" bestFit="1" customWidth="1"/>
    <col min="9479" max="9479" width="12.42578125" customWidth="1"/>
    <col min="9480" max="9480" width="13.28515625" customWidth="1"/>
    <col min="9734" max="9734" width="28.140625" bestFit="1" customWidth="1"/>
    <col min="9735" max="9735" width="12.42578125" customWidth="1"/>
    <col min="9736" max="9736" width="13.28515625" customWidth="1"/>
    <col min="9990" max="9990" width="28.140625" bestFit="1" customWidth="1"/>
    <col min="9991" max="9991" width="12.42578125" customWidth="1"/>
    <col min="9992" max="9992" width="13.28515625" customWidth="1"/>
    <col min="10246" max="10246" width="28.140625" bestFit="1" customWidth="1"/>
    <col min="10247" max="10247" width="12.42578125" customWidth="1"/>
    <col min="10248" max="10248" width="13.28515625" customWidth="1"/>
    <col min="10502" max="10502" width="28.140625" bestFit="1" customWidth="1"/>
    <col min="10503" max="10503" width="12.42578125" customWidth="1"/>
    <col min="10504" max="10504" width="13.28515625" customWidth="1"/>
    <col min="10758" max="10758" width="28.140625" bestFit="1" customWidth="1"/>
    <col min="10759" max="10759" width="12.42578125" customWidth="1"/>
    <col min="10760" max="10760" width="13.28515625" customWidth="1"/>
    <col min="11014" max="11014" width="28.140625" bestFit="1" customWidth="1"/>
    <col min="11015" max="11015" width="12.42578125" customWidth="1"/>
    <col min="11016" max="11016" width="13.28515625" customWidth="1"/>
    <col min="11270" max="11270" width="28.140625" bestFit="1" customWidth="1"/>
    <col min="11271" max="11271" width="12.42578125" customWidth="1"/>
    <col min="11272" max="11272" width="13.28515625" customWidth="1"/>
    <col min="11526" max="11526" width="28.140625" bestFit="1" customWidth="1"/>
    <col min="11527" max="11527" width="12.42578125" customWidth="1"/>
    <col min="11528" max="11528" width="13.28515625" customWidth="1"/>
    <col min="11782" max="11782" width="28.140625" bestFit="1" customWidth="1"/>
    <col min="11783" max="11783" width="12.42578125" customWidth="1"/>
    <col min="11784" max="11784" width="13.28515625" customWidth="1"/>
    <col min="12038" max="12038" width="28.140625" bestFit="1" customWidth="1"/>
    <col min="12039" max="12039" width="12.42578125" customWidth="1"/>
    <col min="12040" max="12040" width="13.28515625" customWidth="1"/>
    <col min="12294" max="12294" width="28.140625" bestFit="1" customWidth="1"/>
    <col min="12295" max="12295" width="12.42578125" customWidth="1"/>
    <col min="12296" max="12296" width="13.28515625" customWidth="1"/>
    <col min="12550" max="12550" width="28.140625" bestFit="1" customWidth="1"/>
    <col min="12551" max="12551" width="12.42578125" customWidth="1"/>
    <col min="12552" max="12552" width="13.28515625" customWidth="1"/>
    <col min="12806" max="12806" width="28.140625" bestFit="1" customWidth="1"/>
    <col min="12807" max="12807" width="12.42578125" customWidth="1"/>
    <col min="12808" max="12808" width="13.28515625" customWidth="1"/>
    <col min="13062" max="13062" width="28.140625" bestFit="1" customWidth="1"/>
    <col min="13063" max="13063" width="12.42578125" customWidth="1"/>
    <col min="13064" max="13064" width="13.28515625" customWidth="1"/>
    <col min="13318" max="13318" width="28.140625" bestFit="1" customWidth="1"/>
    <col min="13319" max="13319" width="12.42578125" customWidth="1"/>
    <col min="13320" max="13320" width="13.28515625" customWidth="1"/>
    <col min="13574" max="13574" width="28.140625" bestFit="1" customWidth="1"/>
    <col min="13575" max="13575" width="12.42578125" customWidth="1"/>
    <col min="13576" max="13576" width="13.28515625" customWidth="1"/>
    <col min="13830" max="13830" width="28.140625" bestFit="1" customWidth="1"/>
    <col min="13831" max="13831" width="12.42578125" customWidth="1"/>
    <col min="13832" max="13832" width="13.28515625" customWidth="1"/>
    <col min="14086" max="14086" width="28.140625" bestFit="1" customWidth="1"/>
    <col min="14087" max="14087" width="12.42578125" customWidth="1"/>
    <col min="14088" max="14088" width="13.28515625" customWidth="1"/>
    <col min="14342" max="14342" width="28.140625" bestFit="1" customWidth="1"/>
    <col min="14343" max="14343" width="12.42578125" customWidth="1"/>
    <col min="14344" max="14344" width="13.28515625" customWidth="1"/>
    <col min="14598" max="14598" width="28.140625" bestFit="1" customWidth="1"/>
    <col min="14599" max="14599" width="12.42578125" customWidth="1"/>
    <col min="14600" max="14600" width="13.28515625" customWidth="1"/>
    <col min="14854" max="14854" width="28.140625" bestFit="1" customWidth="1"/>
    <col min="14855" max="14855" width="12.42578125" customWidth="1"/>
    <col min="14856" max="14856" width="13.28515625" customWidth="1"/>
    <col min="15110" max="15110" width="28.140625" bestFit="1" customWidth="1"/>
    <col min="15111" max="15111" width="12.42578125" customWidth="1"/>
    <col min="15112" max="15112" width="13.28515625" customWidth="1"/>
    <col min="15366" max="15366" width="28.140625" bestFit="1" customWidth="1"/>
    <col min="15367" max="15367" width="12.42578125" customWidth="1"/>
    <col min="15368" max="15368" width="13.28515625" customWidth="1"/>
    <col min="15622" max="15622" width="28.140625" bestFit="1" customWidth="1"/>
    <col min="15623" max="15623" width="12.42578125" customWidth="1"/>
    <col min="15624" max="15624" width="13.28515625" customWidth="1"/>
    <col min="15878" max="15878" width="28.140625" bestFit="1" customWidth="1"/>
    <col min="15879" max="15879" width="12.42578125" customWidth="1"/>
    <col min="15880" max="15880" width="13.28515625" customWidth="1"/>
    <col min="16134" max="16134" width="28.140625" bestFit="1" customWidth="1"/>
    <col min="16135" max="16135" width="12.42578125" customWidth="1"/>
    <col min="16136" max="16136" width="13.28515625" customWidth="1"/>
  </cols>
  <sheetData>
    <row r="1" spans="1:17" ht="15.75" x14ac:dyDescent="0.25">
      <c r="A1" s="218" t="s">
        <v>0</v>
      </c>
      <c r="B1" s="218"/>
      <c r="C1" s="2"/>
      <c r="D1" s="2"/>
      <c r="G1" t="s">
        <v>1</v>
      </c>
      <c r="M1" t="s">
        <v>2</v>
      </c>
      <c r="N1" t="s">
        <v>3</v>
      </c>
      <c r="Q1" t="s">
        <v>4</v>
      </c>
    </row>
    <row r="2" spans="1:17" ht="18.75" thickBot="1" x14ac:dyDescent="0.3">
      <c r="A2" s="219" t="s">
        <v>5</v>
      </c>
      <c r="B2" s="219"/>
      <c r="C2" s="3"/>
      <c r="D2" s="3"/>
      <c r="G2" s="4" t="s">
        <v>6</v>
      </c>
      <c r="H2" s="4" t="s">
        <v>7</v>
      </c>
      <c r="I2" s="4" t="s">
        <v>7</v>
      </c>
      <c r="J2" s="4" t="s">
        <v>7</v>
      </c>
      <c r="M2" s="4" t="s">
        <v>8</v>
      </c>
      <c r="N2" s="4" t="s">
        <v>8</v>
      </c>
      <c r="O2" s="4" t="s">
        <v>7</v>
      </c>
      <c r="P2" s="4" t="s">
        <v>6</v>
      </c>
      <c r="Q2" s="4" t="s">
        <v>8</v>
      </c>
    </row>
    <row r="3" spans="1:17" ht="18.75" thickBot="1" x14ac:dyDescent="0.3">
      <c r="A3" s="5"/>
      <c r="B3" s="6" t="s">
        <v>9</v>
      </c>
      <c r="C3" s="220" t="s">
        <v>10</v>
      </c>
      <c r="D3" s="221"/>
      <c r="G3" s="7" t="s">
        <v>11</v>
      </c>
      <c r="H3" s="8" t="s">
        <v>12</v>
      </c>
      <c r="I3" s="7" t="s">
        <v>13</v>
      </c>
      <c r="J3" s="7" t="s">
        <v>14</v>
      </c>
      <c r="M3" s="4" t="s">
        <v>15</v>
      </c>
      <c r="N3" s="9" t="s">
        <v>16</v>
      </c>
      <c r="O3" s="9" t="s">
        <v>17</v>
      </c>
      <c r="P3" s="9" t="s">
        <v>11</v>
      </c>
      <c r="Q3" s="9" t="s">
        <v>16</v>
      </c>
    </row>
    <row r="4" spans="1:17" ht="17.25" thickBot="1" x14ac:dyDescent="0.35">
      <c r="A4" s="10"/>
      <c r="B4" s="11" t="s">
        <v>18</v>
      </c>
      <c r="C4" s="12">
        <f>+M4*H4*$H$13/1000000</f>
        <v>1.9481959200000001</v>
      </c>
      <c r="D4" s="13" t="s">
        <v>19</v>
      </c>
      <c r="G4" s="14"/>
      <c r="H4" s="14">
        <v>8300</v>
      </c>
      <c r="I4" s="15">
        <f>+H4*$H$13/1000</f>
        <v>34.727200000000003</v>
      </c>
      <c r="J4" s="15">
        <f>+I4/$H$12</f>
        <v>0.82944492213623777</v>
      </c>
      <c r="M4" s="16">
        <f>56100/1000</f>
        <v>56.1</v>
      </c>
      <c r="N4" s="15">
        <f>+M4*O4/1000</f>
        <v>1.9361231999999999</v>
      </c>
      <c r="O4" s="17">
        <f>48*P4</f>
        <v>34.512</v>
      </c>
      <c r="P4" s="18">
        <v>0.71899999999999997</v>
      </c>
      <c r="Q4" s="14">
        <v>1.9510000000000001</v>
      </c>
    </row>
    <row r="5" spans="1:17" ht="17.25" thickBot="1" x14ac:dyDescent="0.35">
      <c r="A5" s="10"/>
      <c r="B5" s="11" t="s">
        <v>20</v>
      </c>
      <c r="C5" s="12">
        <f>+M5*H5*$H$13/1000000</f>
        <v>3.1722809066666686</v>
      </c>
      <c r="D5" s="13" t="s">
        <v>21</v>
      </c>
      <c r="G5" s="14">
        <v>0.94499999999999995</v>
      </c>
      <c r="H5" s="14">
        <v>9800</v>
      </c>
      <c r="I5" s="15">
        <f>+H5*$H$13/1000</f>
        <v>41.003200000000007</v>
      </c>
      <c r="J5" s="15">
        <f>+I5/$H$12</f>
        <v>0.9793446068596543</v>
      </c>
      <c r="M5" s="16">
        <f>77366.6666666667/1000</f>
        <v>77.366666666666703</v>
      </c>
      <c r="N5" s="15">
        <f>+M5*O5/1000</f>
        <v>3.1256133333333347</v>
      </c>
      <c r="O5" s="17">
        <v>40.4</v>
      </c>
      <c r="P5" s="19">
        <v>0.94499999999999995</v>
      </c>
      <c r="Q5" s="14">
        <v>3.1970000000000001</v>
      </c>
    </row>
    <row r="6" spans="1:17" ht="17.25" thickBot="1" x14ac:dyDescent="0.35">
      <c r="A6" s="10"/>
      <c r="B6" s="11" t="s">
        <v>22</v>
      </c>
      <c r="C6" s="12">
        <f>+M6*H6*$H$13/1000000</f>
        <v>3.1919178133333355</v>
      </c>
      <c r="D6" s="13" t="s">
        <v>21</v>
      </c>
      <c r="E6">
        <f>C6*G6</f>
        <v>2.6971705522666682</v>
      </c>
      <c r="F6" t="s">
        <v>23</v>
      </c>
      <c r="G6" s="14">
        <v>0.84499999999999997</v>
      </c>
      <c r="H6" s="20">
        <v>10300</v>
      </c>
      <c r="I6" s="15">
        <f>+H6*$H$13/1000</f>
        <v>43.095200000000006</v>
      </c>
      <c r="J6" s="21">
        <f>+I6/$H$12</f>
        <v>1.0293111684341263</v>
      </c>
      <c r="M6" s="16">
        <f>74066.6666666667/1000</f>
        <v>74.066666666666706</v>
      </c>
      <c r="N6" s="15">
        <f>+M6*O6/1000</f>
        <v>3.1848666666666681</v>
      </c>
      <c r="O6" s="17">
        <v>43</v>
      </c>
      <c r="P6" s="19">
        <v>0.84499999999999997</v>
      </c>
      <c r="Q6" s="14">
        <v>3.1760000000000002</v>
      </c>
    </row>
    <row r="7" spans="1:17" ht="17.25" thickBot="1" x14ac:dyDescent="0.35">
      <c r="A7" s="10"/>
      <c r="B7" s="11" t="s">
        <v>24</v>
      </c>
      <c r="C7" s="12">
        <f>+M7*H7*$H$13/1000000</f>
        <v>2.3352577600000002</v>
      </c>
      <c r="D7" s="13" t="s">
        <v>21</v>
      </c>
      <c r="G7" s="14"/>
      <c r="H7" s="14">
        <v>5900</v>
      </c>
      <c r="I7" s="15">
        <f>+H7*$H$13/1000</f>
        <v>24.685600000000001</v>
      </c>
      <c r="J7" s="15">
        <f>+I7/$H$12</f>
        <v>0.58960542657877135</v>
      </c>
      <c r="M7" s="16">
        <v>94.6</v>
      </c>
      <c r="N7" s="15">
        <f>+M7*O7/1000</f>
        <v>2.44068</v>
      </c>
      <c r="O7" s="22">
        <v>25.8</v>
      </c>
      <c r="P7" s="19">
        <v>1</v>
      </c>
      <c r="Q7" s="14">
        <v>2.335</v>
      </c>
    </row>
    <row r="8" spans="1:17" ht="17.25" thickBot="1" x14ac:dyDescent="0.35">
      <c r="A8" s="10"/>
      <c r="B8" s="11" t="s">
        <v>25</v>
      </c>
      <c r="C8" s="12">
        <f>+M7*H8*$H$13/1000000</f>
        <v>2.84980608</v>
      </c>
      <c r="D8" s="13" t="s">
        <v>21</v>
      </c>
      <c r="G8" s="14"/>
      <c r="H8" s="14">
        <v>7200</v>
      </c>
      <c r="I8" s="15">
        <f>+H8*$H$13/1000</f>
        <v>30.124800000000004</v>
      </c>
      <c r="J8" s="15">
        <f>+I8/$H$12</f>
        <v>0.71951848667239904</v>
      </c>
      <c r="M8" s="16">
        <v>94.6</v>
      </c>
      <c r="N8" s="15">
        <f>+M8*O8/1000</f>
        <v>2.44068</v>
      </c>
      <c r="O8" s="22">
        <v>25.8</v>
      </c>
      <c r="P8" s="19">
        <v>1</v>
      </c>
      <c r="Q8" s="14">
        <v>2.8029999999999999</v>
      </c>
    </row>
    <row r="9" spans="1:17" x14ac:dyDescent="0.25">
      <c r="A9" s="23"/>
      <c r="B9" s="23" t="s">
        <v>26</v>
      </c>
      <c r="C9" s="23"/>
      <c r="D9" s="23"/>
    </row>
    <row r="10" spans="1:17" ht="15.75" x14ac:dyDescent="0.25">
      <c r="A10" s="24"/>
      <c r="B10" s="25"/>
      <c r="C10" s="1"/>
      <c r="D10" s="25"/>
    </row>
    <row r="11" spans="1:17" ht="15.75" x14ac:dyDescent="0.25">
      <c r="A11" s="10"/>
      <c r="B11" s="3"/>
      <c r="C11" s="26"/>
      <c r="D11" s="3"/>
      <c r="G11" s="27" t="s">
        <v>27</v>
      </c>
      <c r="H11" s="28"/>
      <c r="I11" s="29"/>
    </row>
    <row r="12" spans="1:17" x14ac:dyDescent="0.25">
      <c r="G12" s="30"/>
      <c r="H12" s="31">
        <v>41.868000000000002</v>
      </c>
      <c r="I12" s="30" t="s">
        <v>28</v>
      </c>
    </row>
    <row r="13" spans="1:17" x14ac:dyDescent="0.25">
      <c r="G13" s="14"/>
      <c r="H13" s="15">
        <v>4.1840000000000002</v>
      </c>
      <c r="I13" s="14" t="s">
        <v>29</v>
      </c>
    </row>
  </sheetData>
  <mergeCells count="3">
    <mergeCell ref="A1:B1"/>
    <mergeCell ref="A2:B2"/>
    <mergeCell ref="C3:D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Emisiones enfoque 1</vt:lpstr>
      <vt:lpstr>Emisiones enfoque 2</vt:lpstr>
      <vt:lpstr>Emisiones enfoque 3</vt:lpstr>
      <vt:lpstr>Fuentes y Factores (enfoque 3)</vt:lpstr>
      <vt:lpstr>Análisis</vt:lpstr>
      <vt:lpstr>Análisis II</vt:lpstr>
      <vt:lpstr>4 a) Simple OM 2007-2019</vt:lpstr>
      <vt:lpstr>Datos factores de emisión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Rodriguez</dc:creator>
  <cp:lastModifiedBy>Cecilia Daniela Morando</cp:lastModifiedBy>
  <dcterms:created xsi:type="dcterms:W3CDTF">2019-09-04T19:59:56Z</dcterms:created>
  <dcterms:modified xsi:type="dcterms:W3CDTF">2022-06-23T19:45:59Z</dcterms:modified>
</cp:coreProperties>
</file>